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1"/>
  <workbookPr updateLinks="never" defaultThemeVersion="166925"/>
  <mc:AlternateContent xmlns:mc="http://schemas.openxmlformats.org/markup-compatibility/2006">
    <mc:Choice Requires="x15">
      <x15ac:absPath xmlns:x15ac="http://schemas.microsoft.com/office/spreadsheetml/2010/11/ac" url="Q:\Delivery\Projects\IAU\WandE\ED18355 Nutrient Budget Calculator Update (Theo Cox)\3 Project Delivery\2 Final Deliverable\Nutrient_Budget_Calculators_V02_2_240124\"/>
    </mc:Choice>
  </mc:AlternateContent>
  <xr:revisionPtr revIDLastSave="6" documentId="8_{327E6BB7-4457-43F4-A0E5-983A9C4A19B3}" xr6:coauthVersionLast="47" xr6:coauthVersionMax="47" xr10:uidLastSave="{0AA29DF2-501F-43C8-9117-65B59E09C0DE}"/>
  <workbookProtection workbookAlgorithmName="SHA-512" workbookHashValue="/QrC+OQHymLB7i72DO1WVwAb7+3tJl+uB+dBcUF9BrfdHX5qRiGw7uzhyHpuNhBgN6VaFEh+6onw+zISpVcabw==" workbookSaltValue="7vmIfimWB5MM+ndQfoPtwA==" workbookSpinCount="100000" lockStructure="1"/>
  <bookViews>
    <workbookView xWindow="-120" yWindow="-120" windowWidth="29040" windowHeight="15840" tabRatio="801" firstSheet="1" xr2:uid="{82A04952-E2FF-4A89-87AE-39010027FF5F}"/>
  </bookViews>
  <sheets>
    <sheet name="About_the_calculator" sheetId="18"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21" l="1"/>
  <c r="A11" i="10" s="1"/>
  <c r="B10" i="21"/>
  <c r="A15" i="21" s="1"/>
  <c r="B12" i="21"/>
  <c r="A20" i="21"/>
  <c r="A12" i="21"/>
  <c r="A9" i="10"/>
  <c r="H112" i="3"/>
  <c r="A11" i="21"/>
  <c r="A22" i="21"/>
  <c r="C11" i="8"/>
  <c r="H116" i="3"/>
  <c r="B11" i="21" l="1"/>
  <c r="D5" i="22"/>
  <c r="D7" i="22"/>
  <c r="D8" i="22"/>
  <c r="D9" i="22"/>
  <c r="D10" i="22"/>
  <c r="D11" i="22"/>
  <c r="D12" i="22"/>
  <c r="D13" i="22"/>
  <c r="D14" i="22"/>
  <c r="D15" i="22"/>
  <c r="D16" i="22"/>
  <c r="D17" i="22"/>
  <c r="D18" i="22"/>
  <c r="D19" i="22"/>
  <c r="D20" i="22"/>
  <c r="D21" i="22"/>
  <c r="D22" i="22"/>
  <c r="D23" i="22"/>
  <c r="D24" i="22"/>
  <c r="D25" i="22"/>
  <c r="D26" i="22"/>
  <c r="D27" i="22"/>
  <c r="D28" i="22"/>
  <c r="D15" i="8"/>
  <c r="D16" i="8"/>
  <c r="D17" i="8"/>
  <c r="D18" i="8"/>
  <c r="D19" i="8"/>
  <c r="D20" i="8"/>
  <c r="D21" i="8"/>
  <c r="D22" i="8"/>
  <c r="D23" i="8"/>
  <c r="D24" i="8"/>
  <c r="D25" i="8"/>
  <c r="D26" i="8"/>
  <c r="D27" i="8"/>
  <c r="D12" i="8"/>
  <c r="D13" i="8"/>
  <c r="D14" i="8"/>
  <c r="B20" i="21" l="1"/>
  <c r="B22" i="21"/>
  <c r="A21" i="21" s="1"/>
  <c r="H4" i="22"/>
  <c r="A204" i="3" l="1" a="1"/>
  <c r="A204" i="3" s="1"/>
  <c r="G5" i="22"/>
  <c r="G7" i="22"/>
  <c r="G8" i="22"/>
  <c r="G9" i="22"/>
  <c r="G10" i="22"/>
  <c r="G11" i="22"/>
  <c r="G12" i="22"/>
  <c r="G13" i="22"/>
  <c r="G14" i="22"/>
  <c r="G15" i="22"/>
  <c r="G16" i="22"/>
  <c r="G17" i="22"/>
  <c r="G18" i="22"/>
  <c r="G19" i="22"/>
  <c r="G20" i="22"/>
  <c r="G21" i="22"/>
  <c r="G22" i="22"/>
  <c r="G23" i="22"/>
  <c r="G24" i="22"/>
  <c r="G25" i="22"/>
  <c r="G26" i="22"/>
  <c r="G27" i="22"/>
  <c r="G28" i="22"/>
  <c r="H5" i="22"/>
  <c r="H6" i="22"/>
  <c r="H7" i="22"/>
  <c r="H8" i="22"/>
  <c r="H9" i="22"/>
  <c r="H10" i="22"/>
  <c r="H11" i="22"/>
  <c r="H12" i="22"/>
  <c r="H13" i="22"/>
  <c r="H14" i="22"/>
  <c r="H15" i="22"/>
  <c r="H16" i="22"/>
  <c r="H17" i="22"/>
  <c r="H18" i="22"/>
  <c r="H19" i="22"/>
  <c r="H20" i="22"/>
  <c r="H21" i="22"/>
  <c r="H22" i="22"/>
  <c r="H23" i="22"/>
  <c r="H24" i="22"/>
  <c r="H25" i="22"/>
  <c r="H26" i="22"/>
  <c r="H27" i="22"/>
  <c r="H28" i="22"/>
  <c r="B29" i="22" l="1"/>
  <c r="C13" i="8" l="1"/>
  <c r="B16" i="21"/>
  <c r="B17" i="21" s="1"/>
  <c r="A12" i="10"/>
  <c r="B18" i="21" l="1"/>
  <c r="H118" i="3" l="1"/>
  <c r="H117" i="3"/>
  <c r="C17" i="8" l="1"/>
  <c r="C7" i="9" l="1"/>
  <c r="C8" i="9"/>
  <c r="C9" i="9"/>
  <c r="C10" i="9"/>
  <c r="C11" i="9"/>
  <c r="C12" i="9"/>
  <c r="C13" i="9"/>
  <c r="F118" i="3" l="1"/>
  <c r="F117" i="3"/>
  <c r="F116" i="3"/>
  <c r="F115" i="3"/>
  <c r="F114" i="3"/>
  <c r="F113" i="3"/>
  <c r="F112" i="3"/>
  <c r="F111" i="3"/>
  <c r="D11" i="8"/>
  <c r="C6" i="9" l="1"/>
  <c r="D4" i="22" s="1"/>
  <c r="C5" i="9"/>
  <c r="C12" i="8"/>
  <c r="C25" i="8"/>
  <c r="C24" i="8"/>
  <c r="C16" i="8"/>
  <c r="C22" i="8"/>
  <c r="C14" i="8"/>
  <c r="C23" i="8"/>
  <c r="C15" i="8"/>
  <c r="C18" i="8"/>
  <c r="C21" i="8"/>
  <c r="C26" i="8"/>
  <c r="C20" i="8"/>
  <c r="C19" i="8"/>
  <c r="C16" i="9"/>
  <c r="C17" i="9"/>
  <c r="C18" i="9"/>
  <c r="C19" i="9"/>
  <c r="C20" i="9"/>
  <c r="C15" i="9"/>
  <c r="C14" i="9"/>
  <c r="C27" i="8"/>
  <c r="D6" i="22" l="1"/>
  <c r="G6" i="22" s="1"/>
  <c r="B5" i="10"/>
  <c r="G4" i="22"/>
  <c r="C21" i="9"/>
  <c r="D29" i="22" l="1"/>
  <c r="G29" i="22"/>
  <c r="C28" i="8"/>
  <c r="C22" i="9"/>
  <c r="B6" i="10" l="1"/>
  <c r="B7" i="10" s="1"/>
  <c r="B12" i="10" l="1"/>
  <c r="B14" i="10"/>
  <c r="B22" i="9"/>
  <c r="B28" i="8"/>
  <c r="B8" i="10" l="1"/>
  <c r="B10" i="10" s="1"/>
  <c r="A13" i="10"/>
  <c r="A14" i="10" s="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<sst xmlns="http://schemas.openxmlformats.org/spreadsheetml/2006/main" count="844" uniqueCount="350">
  <si>
    <t>Natural England Nutrient Neutrality budget calculator for the River Kent SAC</t>
  </si>
  <si>
    <t>This tool contains six worksheets with nine tables in total, as well as an additional worksheet hidden from the user.</t>
  </si>
  <si>
    <t>This is the instructions sheet. It contains instructions on how to use the tool and provides an overview of each worksheet. This worksheet contains two tables.</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</si>
  <si>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</si>
  <si>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</si>
  <si>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(both have a similar effect to a right click), then press the letter 'O' twice to highlight 'Open Hyperlink' and press 'Enter'.</t>
  </si>
  <si>
    <t>If you use a keyboard only, any drop-down lists can be accessed by clicking the dropdown arrow or pressing the 'Alt' + 'Down' keys when the cell is selected.</t>
  </si>
  <si>
    <t>Table of contents</t>
  </si>
  <si>
    <t>Topic of each table</t>
  </si>
  <si>
    <t>Link to each worksheet</t>
  </si>
  <si>
    <t>Worksheet 1 (Nutrients_from_wastewater): Nutrient loading from additional wastewater</t>
  </si>
  <si>
    <t>Nutrients from wastewater</t>
  </si>
  <si>
    <t>Worksheet 2 (Nutrients_from_current_land_use): Nutrient loading from current land use</t>
  </si>
  <si>
    <t>Nutrients from current land use</t>
  </si>
  <si>
    <t>Worksheet 3 (Nutrients_from_future_land_use): Nutrient loading from future land use</t>
  </si>
  <si>
    <t>Nutrients from future land use</t>
  </si>
  <si>
    <t>Worksheet 4 (SuDS): Nutrient loading from future land use after treatment through a sustainable urban drainage system (SuDS)</t>
  </si>
  <si>
    <t>SuDS</t>
  </si>
  <si>
    <t>Worksheet 5 (Final_nutrient_budgets): Nutrient budget calculations</t>
  </si>
  <si>
    <t>Final_nutrient_budgets</t>
  </si>
  <si>
    <t>General information about the calculator</t>
  </si>
  <si>
    <t xml:space="preserve">This tool provides a step-by-step approach to calculating the nutrient budget for a new residential development.  </t>
  </si>
  <si>
    <t>The nutrient budget for a site is calculated in four key stages with an additional optional stage in which information about the SuDS features on the site can be entered. Each stage is implemented in worksheets 1-5 of this workbook.</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</si>
  <si>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</si>
  <si>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</si>
  <si>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 xml:space="preserve">Before a nutrient budget can be completed using the methodology, certain site-specific details for the development site in question need to be determined.  </t>
  </si>
  <si>
    <t>There is a guidance webpage that accompanies this calculator and provides further information on the user inputs required.</t>
  </si>
  <si>
    <t>The required details and instructions for completing each stage of the nutrient budget methodology are shown in cell A2 of each worksheet.</t>
  </si>
  <si>
    <t>This tool uses a set of lookup tables to find relevant values in a hidden spreadsheet titled the 'Value_look_up_tables' worksheet.</t>
  </si>
  <si>
    <t xml:space="preserve">It is advisable to retain a blank copy of this workbook and 'Save As' a new copy each time you calculate a budget to minimise the risk of using incorrect data inputs and to ease the calculation of new nutrient budgets. </t>
  </si>
  <si>
    <t xml:space="preserve">The values already included in this tool have been chosen based on research to determine suitable inputs to the nutrient budget that meet the HRA tests of beyond reasonable scientific doubt, in perpetuity (practically speaking this is 80-125 years) and in accordance with the precautionary principle. </t>
  </si>
  <si>
    <t xml:space="preserve">If editing any values in this tool, you must make sure there is a sufficient evidence base to justify these changes and that the new inputs are selected in accordance with the precautionary principle.  </t>
  </si>
  <si>
    <t>Notes about the nutrients from wastewater worksheet</t>
  </si>
  <si>
    <t xml:space="preserve">This sheet contains two tables. </t>
  </si>
  <si>
    <t>The first table titled 'Table_3_Water_Infrastructure'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</si>
  <si>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two or three values for the permits and nutrients load from before and after the upgrade.</t>
  </si>
  <si>
    <t>The amount of wastewater generated as a result of the population needs to be calculated using an average occupancy rate, a per capita water usage figure, and the number of new developments. The default water usage value is preset in the worksheet. The default setting for the average occupancy rate is preset in the worksheet and is the national occupancy rate of 2.4 people per dwelling/unit. Only change this value if there is sufficient evidence that the development will be different to the national average. The number of new developments is not preset and must be a whole number.</t>
  </si>
  <si>
    <t>If it is uncertain what WwTW the development will drain into, please find this information from your sewerage company before completing the calculator. If it is not feasible to connect to a WwTW and a septic tank or package treatment plant is being used, please select this option. Please be aware that if the total phosphorus (TP) final effluent concentrations (in mg/l) are specified by the manufacturer, please select 'Septic Tank user defined' or 'Package Treatment Plant user defined' and enter the manufacturer specified value in the cell where prompted.</t>
  </si>
  <si>
    <t>The second table titled 'Table_4_Wastewater_Load' under the heading 'Final calculation of nutrient load from wastewater' contains the calculation of the nutrient load from additional wastewater. This table may present up to three different values for the nutrient load.</t>
  </si>
  <si>
    <t xml:space="preserve">If a nutrient permit is changing for the selected WwTW as of 01/01/2025, or 01/04/2030 ,the second table will be broken down into up to three parts: 'Post-2030 Stage 1 Nutrient Loading',  'Pre-2030 Stage 1 Nutrient Loading', and  'Pre-2025 Stage 1 Nutrient Loading'. If applicable, three nutrient budgets will be calculated for the loading before and after the 2030 and 2025 WwTW permit upgrades, and will be presented in cells B18, B20, or B22, if applicable. </t>
  </si>
  <si>
    <t>Notes about the nutrients from current land use worksheet</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</si>
  <si>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</si>
  <si>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eight agricultural landcover types and eight different non-agricultural landcover types. The full list of landcovers can be found in the associated guidance webpage or in the drop-down list. Please find out what landcover types are within the development before completing this tool. If there is a landcover within the development area that is not in the list please select the most similar landcover type.</t>
  </si>
  <si>
    <t>The guidance webpage that accompanies this calculator provides further information about the landcover types used in this tool.</t>
  </si>
  <si>
    <t>Sources of information required for nutrients from current land use worksheet</t>
  </si>
  <si>
    <t>Description of the information:</t>
  </si>
  <si>
    <t>Link</t>
  </si>
  <si>
    <t>The Operational Catchment within which the development is located can be found using the Environment Agency Catchment Data Explorer</t>
  </si>
  <si>
    <t>Environment Agency Catchment Data Explorer</t>
  </si>
  <si>
    <t>The drainage associated with the predominant soil type within the development site can be found using the Soilscapes Map</t>
  </si>
  <si>
    <t>Soilscapes</t>
  </si>
  <si>
    <t>The annual average rainfall that the development will receive can be found using the National River Flow Archive for the '73005- Kent at Sedgwick' station</t>
  </si>
  <si>
    <t>National River Flow Archive</t>
  </si>
  <si>
    <t>Whether the development is located within a Nitrate Vulnerable Zone (NVZ) can be found using the UK Soil Observatory 'Nitrate Vulnerable Zones - England' map</t>
  </si>
  <si>
    <t>UK Soil Observatory</t>
  </si>
  <si>
    <t>Notes about the nutrients from future land use worksheet</t>
  </si>
  <si>
    <t xml:space="preserve">This worksheet contains a single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</si>
  <si>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eight different landcover types: greenspace, woodland, shrub, water, residential urban land, commercial/industrial urban land, open urban land and community food growing. Please find out what landcover types will be within the development site before completing this tool. If there is a landcover within the development site that is not in the list please select the most similar landcover type.</t>
  </si>
  <si>
    <t>Notes about the SuDS worksheet</t>
  </si>
  <si>
    <t xml:space="preserve">This worksheet contains one table in which the user can enter key information about the use of SuDS to treat the runoff from the site and reduce the nutrient loading from future land uses. </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</si>
  <si>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'Nutrients_from_future_land_use' worksheet can be selected. The nutrient loads associated with these landcovers are automatically calculated using the values from the worksheet 'Nutrient_loading_from_future_land_use'. The user must enter the percentage of flow that will be directed through the SuDS. Any numerical value less than or equal to 100% can be entered for the percentage of flow. Any numerical value less than or equal to 100% can be entered for the removal rates. The user can enter any text for the SuDS feature to allow for variability in the names of the SuDS features / management trains planned.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t>
  </si>
  <si>
    <t>Notes about the final nutrient budgets</t>
  </si>
  <si>
    <t>This final stage automatically calculates the results from worksheets 1-5 using the equation described in 'General information about the calculator'.</t>
  </si>
  <si>
    <t>The value(s) shown represent the nutrient mitigation required in kilograms per year to achieve nutrient neutrality.</t>
  </si>
  <si>
    <t>If there are two or three values due to changing permits, the calculator will show the total amount of nutrient mitigation that is needed before and after the changing permit date.</t>
  </si>
  <si>
    <t>This sheet contains two tables. The tables are seperated by a heading in the 'Headings 2' style, which describes the following table. The first table 'Table_3_Water_Infrastructure' may contain blank cells in rows 11 to 12 and column C. User inputs are required for cells B5 to B9. In addition, user inputs are required in C10 depending on the information entered by the user. The second table 'Table_4_Wastewater_Load' may contain blank cells in rows 19 to 22. No user inputs are required in this table.
You can enter the average occupancy rate of the development in cell B6. The default rate is 2.4, this should not be edited without sufficient evidence.
You can enter the water usage in cell B7. This value should be kept at 120 unless other efficiency measures are used.
You can enter the total number of dwellings/units that will be within the development site as of the project completion date in cell B8.
You can choose the receiving WwTW from the drop-down list in cell B9. The drop-down lists can be accessed by clicking the arrow or pressing the 'Alt' + 'Down' keys when the cell is selected. If the user selects 'Package Treatment Plant user defined' or 'Septic Tank user defined', the user must enter their certified value of TP in cell C10. Otherwise the default values will be used in the calculation of the nutrient load associated with wastewater. 
Nutrient permits may be changing for the WwTW selected by the user as of 01/01/2025, or 01/04/2030. If the date of first occupancy is in-between changing permit dates, multiple permit limits may be automatically generated in cell B10 to B12. If applicable, up to three values for the nutrient loading associated with wastewater will be calculated for the loading will be presented in cell B18, B20, or B22.</t>
  </si>
  <si>
    <t>Water infrastructure information</t>
  </si>
  <si>
    <t>Description of required information</t>
  </si>
  <si>
    <t>Data entry column</t>
  </si>
  <si>
    <t>Additional data entry column</t>
  </si>
  <si>
    <t>Date of first occupancy (dd/mm/yyyy):</t>
  </si>
  <si>
    <t>Average occupancy rate (people/dwelling or people/unit):</t>
  </si>
  <si>
    <t>Water usage (litres/person/day):</t>
  </si>
  <si>
    <t>Development Proposal (dwellings/units):</t>
  </si>
  <si>
    <t>Wastewater treatment works:</t>
  </si>
  <si>
    <t>Current wastewater treatment works P permit (mg TP/litre):</t>
  </si>
  <si>
    <t/>
  </si>
  <si>
    <t>Final calculation of nutrient load from wastewater</t>
  </si>
  <si>
    <t>Description of values generated</t>
  </si>
  <si>
    <t>Values generated</t>
  </si>
  <si>
    <t>Additional population (people):</t>
  </si>
  <si>
    <t>Wastewater by development (litres/day):</t>
  </si>
  <si>
    <t>Annual wastewater TP load (kg TP/yr):</t>
  </si>
  <si>
    <t xml:space="preserve">This sheet contains two tables. The tables are seperated by a heading in the 'Headings 2' style, which describe the following table. The first table 'Table_5_Site_Information' requires user inputs in cells B5 to B8. The second table 'Table_6_Current_Land_Uses' requires user inputs in cells A11 to A27 and B11 to B27. The remaining columns are automatically calculated. The final Column (Column D) titled 'Notes on data' will remain empty unless the data automatically generated data has been extrapolated.
You can choose the Operational Catchment the site is located within from the drop-down list in cell B5. The drop-down lists can be accessed by clicking the arrow or pressing the 'Alt' + 'Down' keys when the cell is selected.
You can choose the soil drainage type associated with the predominant soil type within the development site from the drop-down list in cell B6. 
You can choose the annual average rainfall the development will receive from the drop-down list in cell B7. If the rainfall volume is not on the list, please select the nearest value.
You can choose whether the development is in a Nitrate Vulnerable Zone (NVZ) from the drop-down list in cell B8. 
You can choose the existing (pre-development) land use type(s) from the drop-down list in cells A11-A27. You can enter the area(s) (in hectares) of each land use type in cells B11-B27.
The nutrient load from current land uses is shown in cell C11-C27.
The total nutrient load from current land uses is shown in cell C28.
</t>
  </si>
  <si>
    <t>Current land use information</t>
  </si>
  <si>
    <t>Data entry Column</t>
  </si>
  <si>
    <t>Operational Catchment:</t>
  </si>
  <si>
    <t>Soil drainage type:</t>
  </si>
  <si>
    <t>Annual average rainfall (mm):</t>
  </si>
  <si>
    <t>Within Nitrate Vulnerable Zone (NVZ):</t>
  </si>
  <si>
    <t>Current land uses</t>
  </si>
  <si>
    <t>Existing land use type(s)</t>
  </si>
  <si>
    <t>Area (ha)</t>
  </si>
  <si>
    <t>Annual phosphorus export  
(kg TP/yr)</t>
  </si>
  <si>
    <t>Notes on data</t>
  </si>
  <si>
    <t>Totals:</t>
  </si>
  <si>
    <t>This sheet contains one table. The table 'Table_7_Future_Land_Uses' requires user inputs in cells A5 to A21 and B5 to B21. The remaining columns are automatically calculated.
You can choose the future (post-development) land use type(s) of landcover present on the new site from the drop-down list in cells A5-A21. The drop-down lists can be accessed by clicking the arrow or pressing the 'Alt' + 'Down' keys when the cell is selected.
You can enter the area(s) (in hectares) of each land use type in cells B5-B21.
The nutrient load from future land uses is shown in cell C5-C21.
The total nutrient load from future land uses is shown in cell C22.</t>
  </si>
  <si>
    <t>Future land uses</t>
  </si>
  <si>
    <t>New land use type(s)</t>
  </si>
  <si>
    <t>Annual phosphorus export
(kg TP/yr)</t>
  </si>
  <si>
    <t>Nutrients from future land use after SuDS treatment</t>
  </si>
  <si>
    <t>This sheet contains one table. 'Table_8_SuDS_Features' requires user inputs in cells A4 to C28 and E4 to F28 if the user is including SuDS to remove nutrients from the surface runoff. The remaining columns are automatically calculated.
You can choose the future (post-development) land use type(s) of landcover present on the new site within the SuDS catchment area from the drop-down list in cells A4-A28. Only landcovers entered into the worksheet titled 'Nutrient_from_Future_Land_use' can be entered. The drop-down lists can be accessed by clicking the arrow or pressing the 'Alt' + 'Down' keys when the cell is selected.
You can enter the area(s) (in hectares) of each new land use type within the SuDS catchment area in cells B4-B28.
The percentage of the flow entering the SuDS feature can be entered in Column C4-C28. If all flow is being diverted to the SuDS feature then this value should be set to 100%.
The annual TP load associated with the landcovers in the SuDS catchment area are automatically calculated in cells D4-D28.
The name of the SuDS features used to intercept surface flows can be entered in E4-E28. Any text can be entered into these cells.
The nutrient removal rates associated with the SuDS features can be entered into F4-F28. These values must be identified by the user and must be specific to the SuDS features being implemented.
The annual TP load removed by the SuDS features are automatically calculated in cells G4-G28. These values are subtracted from the nutrient budget.
The 'Notes on data' column (Column H) does not require user inputs. This cell will be blank unless the cumulative area of each landcover within the SuDS catchment area exceeds the area of the landcovers entered into the worksheet titled 'Nutrients_from_future_land_use'.
The total nutrient load removed through the SuDS features is shown in cell G29.</t>
  </si>
  <si>
    <t>New land use type(s) within SuDS catchment area</t>
  </si>
  <si>
    <t>SuDS catchment area (ha)</t>
  </si>
  <si>
    <t>Percentage of flow entering the SuDS (%)</t>
  </si>
  <si>
    <t>Annual phosphorus inputs to SuDS feature(s)
(kg T/yr)</t>
  </si>
  <si>
    <t>Name of SuDS feature(s)</t>
  </si>
  <si>
    <t>TP removal rate for features - user specified (%)</t>
  </si>
  <si>
    <t>Annual phosphorus load removed by SuDS
(kg TP/yr)</t>
  </si>
  <si>
    <t>Final nutrient budgets</t>
  </si>
  <si>
    <t>This worksheet contains one table 'Table_9_Final_Nutrient_Budgets'. This table is automatically populated using the outputs from the previous worksheets. It presents calculations that underpin the final annual nutrient budget for the development site. If applicable, up to three values for the nutrient budget may be presented in cells B10, B12, or B14. Some cells may be empty if there are no changing permits.</t>
  </si>
  <si>
    <t>Total nutrient budget calculations</t>
  </si>
  <si>
    <t>Wastewater TP load (kg TP/year):</t>
  </si>
  <si>
    <t>Net land use TP change (kg TP/year):</t>
  </si>
  <si>
    <t>TP budget:</t>
  </si>
  <si>
    <t>TP budget + 20% buffer:</t>
  </si>
  <si>
    <t>The total annual phosphorus load to mitigate is (kg TP/yr):</t>
  </si>
  <si>
    <t>This sheet contains nine tables. A blank row seperates the end of each table from the header for the next table.</t>
  </si>
  <si>
    <t>Table 1: Stage 1 WwTW lookup</t>
  </si>
  <si>
    <t>Discharge Site Name</t>
  </si>
  <si>
    <t>Phosphorus, Total as P (mg/l)</t>
  </si>
  <si>
    <t>Phosphorus, Total as P (mg/l), permit post 2025</t>
  </si>
  <si>
    <t>Phosphorus, Total as P (mg/l), permit post 2030</t>
  </si>
  <si>
    <t>Bowston STW</t>
  </si>
  <si>
    <t>Grayrigg STW</t>
  </si>
  <si>
    <t>Staveley WwTW</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</si>
  <si>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</si>
  <si>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</si>
  <si>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</si>
  <si>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</si>
  <si>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</si>
  <si>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</si>
  <si>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</si>
  <si>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</si>
  <si>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</si>
  <si>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</si>
  <si>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</si>
  <si>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Column3</t>
  </si>
  <si>
    <t>Phosphorus export coefficient</t>
  </si>
  <si>
    <t>Farm Lookup</t>
  </si>
  <si>
    <t>Column1</t>
  </si>
  <si>
    <t>Mean P export of farm type and climate combination</t>
  </si>
  <si>
    <t>Column2</t>
  </si>
  <si>
    <t>Mean P export of farm type</t>
  </si>
  <si>
    <t>Kent</t>
  </si>
  <si>
    <t>General</t>
  </si>
  <si>
    <t>900to1200</t>
  </si>
  <si>
    <t>FreeDrain</t>
  </si>
  <si>
    <t>Kent|General|FALSE|900to1200|FreeDrain</t>
  </si>
  <si>
    <t>General|900to1200</t>
  </si>
  <si>
    <t>DrainedAr</t>
  </si>
  <si>
    <t>Kent|General|FALSE|900to1200|DrainedAr</t>
  </si>
  <si>
    <t>1200to1500</t>
  </si>
  <si>
    <t>Kent|General|FALSE|1200to1500|FreeDrain</t>
  </si>
  <si>
    <t>General|1200to1500</t>
  </si>
  <si>
    <t>Kent|General|FALSE|1200to1500|DrainedAr</t>
  </si>
  <si>
    <t>DrainedArGr</t>
  </si>
  <si>
    <t>Kent|General|FALSE|1200to1500|DrainedArGr</t>
  </si>
  <si>
    <t>Over1500</t>
  </si>
  <si>
    <t>Kent|General|FALSE|Over1500|FreeDrain</t>
  </si>
  <si>
    <t>General|Over1500</t>
  </si>
  <si>
    <t>Kent|General|FALSE|Over1500|DrainedAr</t>
  </si>
  <si>
    <t>Hortic</t>
  </si>
  <si>
    <t>Kent|Hortic|FALSE|900to1200|FreeDrain</t>
  </si>
  <si>
    <t>Hortic|900to1200</t>
  </si>
  <si>
    <t>Kent|Hortic|FALSE|1200to1500|FreeDrain</t>
  </si>
  <si>
    <t>Hortic|1200to1500</t>
  </si>
  <si>
    <t>Kent|Hortic|FALSE|1200to1500|DrainedAr</t>
  </si>
  <si>
    <t>Kent|Hortic|FALSE|Over1500|FreeDrain</t>
  </si>
  <si>
    <t>Hortic|Over1500</t>
  </si>
  <si>
    <t>Kent|Hortic|FALSE|Over1500|DrainedAr</t>
  </si>
  <si>
    <t>Poultry</t>
  </si>
  <si>
    <t>Kent|Poultry|FALSE|900to1200|FreeDrain</t>
  </si>
  <si>
    <t>Poultry|900to1200</t>
  </si>
  <si>
    <t>Kent|Poultry|FALSE|900to1200|DrainedAr</t>
  </si>
  <si>
    <t>Kent|Poultry|FALSE|1200to1500|FreeDrain</t>
  </si>
  <si>
    <t>Poultry|1200to1500</t>
  </si>
  <si>
    <t>Kent|Poultry|FALSE|Over1500|FreeDrain</t>
  </si>
  <si>
    <t>Poultry|Over1500</t>
  </si>
  <si>
    <t>Kent|Poultry|FALSE|Over1500|DrainedAr</t>
  </si>
  <si>
    <t>Dairy</t>
  </si>
  <si>
    <t>Kent|Dairy|FALSE|900to1200|FreeDrain</t>
  </si>
  <si>
    <t>Dairy|900to1200</t>
  </si>
  <si>
    <t>Kent|Dairy|FALSE|900to1200|DrainedAr</t>
  </si>
  <si>
    <t>Kent|Dairy|FALSE|1200to1500|FreeDrain</t>
  </si>
  <si>
    <t>Dairy|1200to1500</t>
  </si>
  <si>
    <t>Kent|Dairy|FALSE|1200to1500|DrainedAr</t>
  </si>
  <si>
    <t>Kent|Dairy|FALSE|Over1500|FreeDrain</t>
  </si>
  <si>
    <t>Dairy|Over1500</t>
  </si>
  <si>
    <t>Kent|Dairy|FALSE|Over1500|DrainedAr</t>
  </si>
  <si>
    <t>LFA</t>
  </si>
  <si>
    <t>Kent|LFA|FALSE|900to1200|FreeDrain</t>
  </si>
  <si>
    <t>LFA|900to1200</t>
  </si>
  <si>
    <t>Kent|LFA|FALSE|900to1200|DrainedAr</t>
  </si>
  <si>
    <t>Kent|LFA|FALSE|1200to1500|FreeDrain</t>
  </si>
  <si>
    <t>LFA|1200to1500</t>
  </si>
  <si>
    <t>Kent|LFA|FALSE|1200to1500|DrainedAr</t>
  </si>
  <si>
    <t>Kent|LFA|FALSE|1200to1500|DrainedArGr</t>
  </si>
  <si>
    <t>Kent|LFA|FALSE|Over1500|FreeDrain</t>
  </si>
  <si>
    <t>LFA|Over1500</t>
  </si>
  <si>
    <t>Kent|LFA|FALSE|Over1500|DrainedAr</t>
  </si>
  <si>
    <t>Kent|LFA|FALSE|Over1500|DrainedArGr</t>
  </si>
  <si>
    <t>Lowland</t>
  </si>
  <si>
    <t>Kent|Lowland|FALSE|900to1200|FreeDrain</t>
  </si>
  <si>
    <t>Lowland|900to1200</t>
  </si>
  <si>
    <t>Kent|Lowland|FALSE|900to1200|DrainedAr</t>
  </si>
  <si>
    <t>Kent|Lowland|FALSE|1200to1500|FreeDrain</t>
  </si>
  <si>
    <t>Lowland|1200to1500</t>
  </si>
  <si>
    <t>Kent|Lowland|FALSE|1200to1500|DrainedAr</t>
  </si>
  <si>
    <t>Kent|Lowland|FALSE|Over1500|FreeDrain</t>
  </si>
  <si>
    <t>Lowland|Over1500</t>
  </si>
  <si>
    <t>Kent|Lowland|FALSE|Over1500|DrainedAr</t>
  </si>
  <si>
    <t>Mixed</t>
  </si>
  <si>
    <t>Kent|Mixed|FALSE|900to1200|DrainedAr</t>
  </si>
  <si>
    <t>Mixed|900to1200</t>
  </si>
  <si>
    <t>Kent|Mixed|FALSE|1200to1500|FreeDrain</t>
  </si>
  <si>
    <t>Mixed|1200to1500</t>
  </si>
  <si>
    <t>Kent|Mixed|FALSE|1200to1500|DrainedAr</t>
  </si>
  <si>
    <t>Kent|Mixed|FALSE|Over1500|FreeDrain</t>
  </si>
  <si>
    <t>Kent and Leven</t>
  </si>
  <si>
    <t>Cereals</t>
  </si>
  <si>
    <t>Cereals|FALSE|900to1200|FreeDrain</t>
  </si>
  <si>
    <t>Cereals|FALSE|900to1200|DrainedAr</t>
  </si>
  <si>
    <t>Cereals|FALSE|1200to1500|FreeDrain</t>
  </si>
  <si>
    <t>Cereals|FALSE|Over1500|FreeDrain</t>
  </si>
  <si>
    <t>Cereals|FALSE|Over1500|DrainedAr</t>
  </si>
  <si>
    <t>General|FALSE|900to1200|FreeDrain</t>
  </si>
  <si>
    <t>General|FALSE|900to1200|DrainedAr</t>
  </si>
  <si>
    <t>General|FALSE|1200to1500|FreeDrain</t>
  </si>
  <si>
    <t>General|FALSE|1200to1500|DrainedAr</t>
  </si>
  <si>
    <t>General|FALSE|1200to1500|DrainedArGr</t>
  </si>
  <si>
    <t>General|FALSE|Over1500|FreeDrain</t>
  </si>
  <si>
    <t>General|FALSE|Over1500|DrainedAr</t>
  </si>
  <si>
    <t>Horticulture</t>
  </si>
  <si>
    <t>Horticulture|FALSE|900to1200|FreeDrain</t>
  </si>
  <si>
    <t>Horticulture|FALSE|900to1200|DrainedAr</t>
  </si>
  <si>
    <t>Horticulture|FALSE|1200to1500|FreeDrain</t>
  </si>
  <si>
    <t>Horticulture|FALSE|1200to1500|DrainedAr</t>
  </si>
  <si>
    <t>Horticulture|FALSE|Over1500|FreeDrain</t>
  </si>
  <si>
    <t>Horticulture|FALSE|Over1500|DrainedAr</t>
  </si>
  <si>
    <t>Pig</t>
  </si>
  <si>
    <t>Pig|FALSE|900to1200|FreeDrain</t>
  </si>
  <si>
    <t>Pig|FALSE|1200to1500|DrainedAr</t>
  </si>
  <si>
    <t>Pig|FALSE|1200to1500|DrainedArGr</t>
  </si>
  <si>
    <t>Pig|FALSE|Over1500|FreeDrain</t>
  </si>
  <si>
    <t>Poultry|FALSE|900to1200|FreeDrain</t>
  </si>
  <si>
    <t>Poultry|FALSE|900to1200|DrainedAr</t>
  </si>
  <si>
    <t>Poultry|FALSE|1200to1500|FreeDrain</t>
  </si>
  <si>
    <t>Poultry|FALSE|Over1500|FreeDrain</t>
  </si>
  <si>
    <t>Poultry|FALSE|Over1500|DrainedAr</t>
  </si>
  <si>
    <t>Dairy|FALSE|900to1200|FreeDrain</t>
  </si>
  <si>
    <t>Dairy|FALSE|900to1200|DrainedAr</t>
  </si>
  <si>
    <t>Dairy|FALSE|1200to1500|FreeDrain</t>
  </si>
  <si>
    <t>Dairy|FALSE|1200to1500|DrainedAr</t>
  </si>
  <si>
    <t>Dairy|FALSE|1200to1500|DrainedArGr</t>
  </si>
  <si>
    <t>Dairy|FALSE|Over1500|FreeDrain</t>
  </si>
  <si>
    <t>Dairy|FALSE|Over1500|DrainedAr</t>
  </si>
  <si>
    <t>LFA|FALSE|900to1200|FreeDrain</t>
  </si>
  <si>
    <t>LFA|FALSE|900to1200|DrainedAr</t>
  </si>
  <si>
    <t>LFA|FALSE|1200to1500|FreeDrain</t>
  </si>
  <si>
    <t>LFA|FALSE|1200to1500|DrainedAr</t>
  </si>
  <si>
    <t>LFA|FALSE|1200to1500|DrainedArGr</t>
  </si>
  <si>
    <t>LFA|FALSE|Over1500|FreeDrain</t>
  </si>
  <si>
    <t>LFA|FALSE|Over1500|DrainedAr</t>
  </si>
  <si>
    <t>LFA|FALSE|Over1500|DrainedArGr</t>
  </si>
  <si>
    <t>Lowland|FALSE|900to1200|FreeDrain</t>
  </si>
  <si>
    <t>Lowland|FALSE|900to1200|DrainedAr</t>
  </si>
  <si>
    <t>Lowland|FALSE|1200to1500|FreeDrain</t>
  </si>
  <si>
    <t>Lowland|FALSE|1200to1500|DrainedAr</t>
  </si>
  <si>
    <t>Lowland|FALSE|1200to1500|DrainedArGr</t>
  </si>
  <si>
    <t>Lowland|FALSE|Over1500|FreeDrain</t>
  </si>
  <si>
    <t>Lowland|FALSE|Over1500|DrainedAr</t>
  </si>
  <si>
    <t>Mixed|FALSE|900to1200|FreeDrain</t>
  </si>
  <si>
    <t>Mixed|FALSE|900to1200|DrainedAr</t>
  </si>
  <si>
    <t>Mixed|FALSE|1200to1500|FreeDrain</t>
  </si>
  <si>
    <t>Mixed|FALSE|1200to1500|DrainedAr</t>
  </si>
  <si>
    <t>Mixed|FALSE|1200to1500|DrainedArGr</t>
  </si>
  <si>
    <t>Mixed|FALSE|Over1500|FreeDrain</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</si>
  <si>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</si>
  <si>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</si>
  <si>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</si>
  <si>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</si>
  <si>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</si>
  <si>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</si>
  <si>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</si>
  <si>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</si>
  <si>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</si>
  <si>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</si>
  <si>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</si>
  <si>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</si>
  <si>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</si>
  <si>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</si>
  <si>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</si>
  <si>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</si>
  <si>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</si>
  <si>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</si>
  <si>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P export coefficient (kg/ha/yr)2</t>
  </si>
  <si>
    <t>Commercial / industrial P export coefficient (kg/ha/yr)3</t>
  </si>
  <si>
    <t>Open urban P export coefficient (kg/ha/yr)4</t>
  </si>
  <si>
    <t>508 - 525</t>
  </si>
  <si>
    <t>Under600</t>
  </si>
  <si>
    <t>525.1 - 550</t>
  </si>
  <si>
    <t>550.1 - 575</t>
  </si>
  <si>
    <t>575.1 - 600</t>
  </si>
  <si>
    <t>600.1 - 625</t>
  </si>
  <si>
    <t>600to700</t>
  </si>
  <si>
    <t>625.1 - 650</t>
  </si>
  <si>
    <t>650.1 - 675</t>
  </si>
  <si>
    <t>675.1 - 700</t>
  </si>
  <si>
    <t>700.1 - 750</t>
  </si>
  <si>
    <t>700to900</t>
  </si>
  <si>
    <t>750.1 - 800</t>
  </si>
  <si>
    <t>800.1 - 850</t>
  </si>
  <si>
    <t>850.1 - 900</t>
  </si>
  <si>
    <t>900.1 - 950</t>
  </si>
  <si>
    <t>950.1 - 1,000</t>
  </si>
  <si>
    <t>1,000.1 - 1,100</t>
  </si>
  <si>
    <t>1,100.1 - 1,200</t>
  </si>
  <si>
    <t>1,200.1 - 1,400</t>
  </si>
  <si>
    <t>1,400.1 - 1,600</t>
  </si>
  <si>
    <t>1,600.1 - 2,000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</si>
  <si>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</si>
  <si>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</si>
  <si>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</si>
  <si>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</si>
  <si>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</si>
  <si>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</si>
  <si>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</si>
  <si>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</si>
  <si>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</si>
  <si>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</si>
  <si>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</si>
  <si>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</si>
  <si>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</si>
  <si>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</si>
  <si>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</si>
  <si>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</si>
  <si>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</si>
  <si>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</si>
  <si>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</si>
  <si>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</si>
  <si>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</si>
  <si>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</si>
  <si>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</si>
  <si>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</si>
  <si>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</si>
  <si>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Table 8: Stage 2 and 3 Landcover lookup</t>
  </si>
  <si>
    <t>Kent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</si>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</sst>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font>
      <sz val="11"/>
      <color theme="1"/>
      <name val="Calibri"/>
      <family val="2"/>
      <scheme val="minor"/>
    </font>
    <font>
      <sz val="1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u/>
      <sz val="11"/>
      <name val="Arial"/>
      <family val="2"/>
    </font>
    <font>
      <b/>
      <sz val="24"/>
      <name val="Arial"/>
      <family val="2"/>
    </font>
    <font>
      <sz val="12"/>
      <color theme="1"/>
      <name val="Arial"/>
      <family val="2"/>
    </font>
    <font>
      <u/>
      <sz val="12"/>
      <color theme="10"/>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9"/>
      <name val="Arial"/>
      <family val="2"/>
    </font>
    <font>
      <b/>
      <sz val="10"/>
      <name val="Arial"/>
      <family val="2"/>
    </font>
    <font>
      <b/>
      <sz val="11"/>
      <color theme="0"/>
      <name val="Arial"/>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rgb="FFE2EFDA"/>
        <bgColor indexed="64"/>
      </patternFill>
    </fill>
  </fills>
  <borders count="25">
    <border>
      <left/>
      <right/>
      <top/>
      <bottom/>
      <diagonal/>
    </border>
    <border>
      <left style="thick">
        <color rgb="FF449669"/>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right/>
      <top/>
      <bottom style="thin">
        <color theme="0" tint="-0.14999847407452621"/>
      </bottom>
      <diagonal/>
    </border>
    <border>
      <left style="thin">
        <color auto="1"/>
      </left>
      <right/>
      <top/>
      <bottom style="thin">
        <color indexed="64"/>
      </bottom>
      <diagonal/>
    </border>
    <border>
      <left/>
      <right style="thin">
        <color auto="1"/>
      </right>
      <top/>
      <bottom style="thin">
        <color auto="1"/>
      </bottom>
      <diagonal/>
    </border>
    <border>
      <left style="thin">
        <color theme="2"/>
      </left>
      <right style="thin">
        <color theme="2"/>
      </right>
      <top style="thin">
        <color theme="2"/>
      </top>
      <bottom style="thin">
        <color theme="2"/>
      </bottom>
      <diagonal/>
    </border>
    <border>
      <left/>
      <right style="thin">
        <color theme="2"/>
      </right>
      <top style="thin">
        <color theme="2"/>
      </top>
      <bottom style="thin">
        <color theme="2"/>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theme="1"/>
      </left>
      <right style="thin">
        <color theme="1"/>
      </right>
      <top/>
      <bottom style="thin">
        <color theme="1"/>
      </bottom>
      <diagonal/>
    </border>
    <border>
      <left/>
      <right/>
      <top style="thin">
        <color indexed="64"/>
      </top>
      <bottom/>
      <diagonal/>
    </border>
    <border>
      <left/>
      <right/>
      <top style="thin">
        <color theme="1"/>
      </top>
      <bottom/>
      <diagonal/>
    </border>
    <border>
      <left style="thin">
        <color indexed="64"/>
      </left>
      <right/>
      <top/>
      <bottom style="thin">
        <color theme="1"/>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style="thin">
        <color theme="0" tint="-0.14999847407452621"/>
      </right>
      <top/>
      <bottom style="thin">
        <color theme="0" tint="-0.14999847407452621"/>
      </bottom>
      <diagonal/>
    </border>
  </borders>
  <cellStyleXfs count="4">
    <xf numFmtId="0" fontId="0" fillId="0" borderId="0"/>
    <xf numFmtId="0" fontId="2" fillId="0" borderId="0" applyNumberFormat="0" applyFill="0" applyBorder="0" applyAlignment="0" applyProtection="0"/>
    <xf numFmtId="0" fontId="16" fillId="0" borderId="3" applyNumberFormat="0" applyFill="0" applyBorder="0" applyAlignment="0" applyProtection="0"/>
    <xf numFmtId="0" fontId="17" fillId="0" borderId="7" applyNumberFormat="0" applyFill="0" applyBorder="0" applyAlignment="0" applyProtection="0"/>
  </cellStyleXfs>
  <cellXfs count="116">
    <xf numFmtId="0" fontId="0" fillId="0" borderId="0" xfId="0"/>
    <xf numFmtId="0" fontId="14" fillId="3" borderId="0" xfId="0" applyFont="1" applyFill="1" applyAlignment="1" applyProtection="1">
      <alignment horizontal="left" vertical="center" wrapText="1"/>
      <protection locked="0"/>
    </xf>
    <xf numFmtId="0" fontId="10" fillId="0" borderId="0" xfId="0" applyFont="1" applyAlignment="1">
      <alignment horizontal="left" vertical="center" wrapText="1"/>
    </xf>
    <xf numFmtId="0" fontId="14" fillId="0" borderId="0" xfId="0" applyFont="1" applyAlignment="1">
      <alignment horizontal="left" vertical="center" wrapText="1"/>
    </xf>
    <xf numFmtId="0" fontId="10" fillId="3" borderId="8" xfId="0" applyFont="1" applyFill="1" applyBorder="1" applyAlignment="1" applyProtection="1">
      <alignment horizontal="left" vertical="center" wrapText="1"/>
      <protection locked="0"/>
    </xf>
    <xf numFmtId="2" fontId="10" fillId="2" borderId="14" xfId="0" applyNumberFormat="1" applyFont="1" applyFill="1" applyBorder="1" applyAlignment="1">
      <alignment horizontal="left" vertical="center" wrapText="1"/>
    </xf>
    <xf numFmtId="0" fontId="10" fillId="0" borderId="5" xfId="0" applyFont="1" applyBorder="1" applyAlignment="1">
      <alignment horizontal="left" vertical="center" wrapText="1"/>
    </xf>
    <xf numFmtId="0" fontId="10" fillId="0" borderId="18" xfId="0" applyFont="1" applyBorder="1" applyAlignment="1">
      <alignment horizontal="left" vertical="center" wrapText="1"/>
    </xf>
    <xf numFmtId="0" fontId="10" fillId="0" borderId="17" xfId="0" applyFont="1" applyBorder="1" applyAlignment="1">
      <alignment horizontal="left" vertical="center" wrapText="1"/>
    </xf>
    <xf numFmtId="0" fontId="10" fillId="0" borderId="8" xfId="0" applyFont="1" applyBorder="1" applyAlignment="1">
      <alignment horizontal="left" vertical="center" wrapText="1"/>
    </xf>
    <xf numFmtId="0" fontId="8" fillId="4" borderId="0" xfId="0" applyFont="1" applyFill="1" applyAlignment="1">
      <alignment horizontal="left" vertical="center" wrapText="1"/>
    </xf>
    <xf numFmtId="0" fontId="17" fillId="0" borderId="0" xfId="3" applyBorder="1" applyAlignment="1" applyProtection="1">
      <alignment horizontal="left" vertical="center" wrapText="1"/>
    </xf>
    <xf numFmtId="0" fontId="16" fillId="0" borderId="0" xfId="2" applyBorder="1" applyAlignment="1" applyProtection="1">
      <alignment horizontal="left" vertical="center"/>
    </xf>
    <xf numFmtId="0" fontId="11" fillId="4" borderId="2" xfId="0" applyFont="1" applyFill="1" applyBorder="1" applyAlignment="1">
      <alignment horizontal="left" vertical="center" wrapText="1"/>
    </xf>
    <xf numFmtId="0" fontId="16" fillId="0" borderId="1" xfId="2" applyFill="1" applyBorder="1" applyAlignment="1" applyProtection="1">
      <alignment horizontal="left" vertical="center" wrapText="1"/>
    </xf>
    <xf numFmtId="0" fontId="13" fillId="0" borderId="0" xfId="0" applyFont="1" applyAlignment="1">
      <alignment horizontal="left" vertical="center" wrapText="1"/>
    </xf>
    <xf numFmtId="0" fontId="17" fillId="0" borderId="0" xfId="0" applyFont="1" applyAlignment="1">
      <alignment horizontal="left" vertical="center" wrapText="1"/>
    </xf>
    <xf numFmtId="0" fontId="5" fillId="0" borderId="0" xfId="0" applyFont="1" applyAlignment="1">
      <alignment horizontal="left" vertical="center" wrapText="1"/>
    </xf>
    <xf numFmtId="2" fontId="10" fillId="3" borderId="0" xfId="0" applyNumberFormat="1" applyFont="1" applyFill="1" applyAlignment="1" applyProtection="1">
      <alignment horizontal="left" vertical="center" wrapText="1"/>
      <protection locked="0"/>
    </xf>
    <xf numFmtId="2" fontId="10" fillId="3" borderId="2" xfId="0" applyNumberFormat="1" applyFont="1" applyFill="1" applyBorder="1" applyAlignment="1" applyProtection="1">
      <alignment horizontal="left" vertical="center" wrapText="1"/>
      <protection locked="0"/>
    </xf>
    <xf numFmtId="0" fontId="11" fillId="2" borderId="4" xfId="0" applyFont="1" applyFill="1" applyBorder="1" applyAlignment="1">
      <alignment horizontal="left" vertical="center" wrapText="1"/>
    </xf>
    <xf numFmtId="2" fontId="11" fillId="2" borderId="4" xfId="0" applyNumberFormat="1" applyFont="1" applyFill="1" applyBorder="1" applyAlignment="1">
      <alignment horizontal="left" vertical="center" wrapText="1"/>
    </xf>
    <xf numFmtId="0" fontId="11" fillId="0" borderId="0" xfId="0" applyFont="1" applyAlignment="1">
      <alignment horizontal="left" vertical="center" wrapText="1"/>
    </xf>
    <xf numFmtId="0" fontId="17" fillId="0" borderId="0" xfId="3" applyFill="1" applyBorder="1" applyAlignment="1" applyProtection="1">
      <alignment horizontal="left" vertical="center" wrapText="1"/>
    </xf>
    <xf numFmtId="0" fontId="12" fillId="0" borderId="0" xfId="1" applyFont="1" applyFill="1" applyAlignment="1" applyProtection="1">
      <alignment horizontal="left" vertical="center" wrapText="1"/>
    </xf>
    <xf numFmtId="0" fontId="10" fillId="2" borderId="15" xfId="0" applyFont="1" applyFill="1" applyBorder="1" applyAlignment="1">
      <alignment horizontal="left" vertical="center" wrapText="1"/>
    </xf>
    <xf numFmtId="0" fontId="4" fillId="0" borderId="0" xfId="0" applyFont="1" applyAlignment="1">
      <alignment horizontal="left" vertical="center" wrapText="1"/>
    </xf>
    <xf numFmtId="14" fontId="10" fillId="3" borderId="14" xfId="0" applyNumberFormat="1" applyFont="1" applyFill="1" applyBorder="1" applyAlignment="1" applyProtection="1">
      <alignment horizontal="left" vertical="center" wrapText="1"/>
      <protection locked="0"/>
    </xf>
    <xf numFmtId="2" fontId="10" fillId="3" borderId="14" xfId="0" applyNumberFormat="1" applyFont="1" applyFill="1" applyBorder="1" applyAlignment="1" applyProtection="1">
      <alignment horizontal="left" vertical="center" wrapText="1"/>
      <protection locked="0"/>
    </xf>
    <xf numFmtId="0" fontId="10" fillId="3" borderId="14" xfId="0" applyFont="1" applyFill="1" applyBorder="1" applyAlignment="1" applyProtection="1">
      <alignment horizontal="left" vertical="center" wrapText="1"/>
      <protection locked="0"/>
    </xf>
    <xf numFmtId="0" fontId="10" fillId="3" borderId="15" xfId="0" applyFont="1" applyFill="1" applyBorder="1" applyAlignment="1" applyProtection="1">
      <alignment horizontal="left" vertical="center" wrapText="1"/>
      <protection locked="0"/>
    </xf>
    <xf numFmtId="0" fontId="11" fillId="5" borderId="11" xfId="0" applyFont="1" applyFill="1" applyBorder="1" applyAlignment="1">
      <alignment horizontal="left" vertical="center" wrapText="1"/>
    </xf>
    <xf numFmtId="0" fontId="11" fillId="5" borderId="23" xfId="0" applyFont="1" applyFill="1" applyBorder="1" applyAlignment="1">
      <alignment horizontal="left" vertical="center" wrapText="1"/>
    </xf>
    <xf numFmtId="0" fontId="10" fillId="0" borderId="0" xfId="0" applyFont="1" applyAlignment="1">
      <alignment horizontal="left" vertical="top" wrapText="1"/>
    </xf>
    <xf numFmtId="0" fontId="14" fillId="4" borderId="2" xfId="0" applyFont="1" applyFill="1" applyBorder="1" applyAlignment="1">
      <alignment horizontal="left" vertical="center" wrapText="1"/>
    </xf>
    <xf numFmtId="0" fontId="14" fillId="3" borderId="2" xfId="0" applyFont="1" applyFill="1" applyBorder="1" applyAlignment="1" applyProtection="1">
      <alignment horizontal="left" vertical="center" wrapText="1"/>
      <protection locked="0"/>
    </xf>
    <xf numFmtId="0" fontId="14" fillId="0" borderId="8" xfId="0" applyFont="1" applyBorder="1" applyAlignment="1">
      <alignment horizontal="left" vertical="center" wrapText="1"/>
    </xf>
    <xf numFmtId="0" fontId="19" fillId="0" borderId="0" xfId="0" applyFont="1" applyAlignment="1">
      <alignment horizontal="left" vertical="center" wrapText="1"/>
    </xf>
    <xf numFmtId="0" fontId="6" fillId="0" borderId="0" xfId="0" applyFont="1" applyAlignment="1">
      <alignment horizontal="left" wrapText="1"/>
    </xf>
    <xf numFmtId="0" fontId="18" fillId="0" borderId="0" xfId="0" applyFont="1" applyAlignment="1">
      <alignment horizontal="left" wrapText="1"/>
    </xf>
    <xf numFmtId="2" fontId="8" fillId="0" borderId="0" xfId="0" applyNumberFormat="1" applyFont="1" applyAlignment="1">
      <alignment horizontal="left" vertical="center" wrapText="1"/>
    </xf>
    <xf numFmtId="0" fontId="6" fillId="0" borderId="0" xfId="0" applyFont="1" applyAlignment="1">
      <alignment horizontal="left" vertical="center" wrapText="1"/>
    </xf>
    <xf numFmtId="2" fontId="8" fillId="0" borderId="2" xfId="0" applyNumberFormat="1" applyFont="1" applyBorder="1" applyAlignment="1">
      <alignment horizontal="left" vertical="center" wrapText="1"/>
    </xf>
    <xf numFmtId="0" fontId="3" fillId="0" borderId="0" xfId="0" applyFont="1" applyAlignment="1">
      <alignment horizontal="left" wrapText="1"/>
    </xf>
    <xf numFmtId="0" fontId="8" fillId="0" borderId="0" xfId="0" applyFont="1" applyAlignment="1">
      <alignment horizontal="left" vertical="center" wrapText="1"/>
    </xf>
    <xf numFmtId="0" fontId="11" fillId="5" borderId="5" xfId="0" applyFont="1" applyFill="1" applyBorder="1" applyAlignment="1">
      <alignment horizontal="left" vertical="center" wrapText="1"/>
    </xf>
    <xf numFmtId="0" fontId="16" fillId="0" borderId="9" xfId="2" applyFill="1" applyBorder="1" applyAlignment="1" applyProtection="1">
      <alignment horizontal="left" vertical="center" wrapText="1"/>
    </xf>
    <xf numFmtId="0" fontId="1" fillId="0" borderId="0" xfId="0" applyFont="1" applyAlignment="1">
      <alignment horizontal="left" wrapText="1"/>
    </xf>
    <xf numFmtId="14" fontId="10" fillId="3" borderId="2" xfId="0" applyNumberFormat="1"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1" fillId="2" borderId="2" xfId="0" applyFont="1" applyFill="1" applyBorder="1" applyAlignment="1">
      <alignment horizontal="left" vertical="center" wrapText="1"/>
    </xf>
    <xf numFmtId="0" fontId="1" fillId="0" borderId="24" xfId="0" applyFont="1" applyBorder="1" applyAlignment="1">
      <alignment horizontal="left" wrapText="1"/>
    </xf>
    <xf numFmtId="0" fontId="10" fillId="2" borderId="16" xfId="0" applyFont="1" applyFill="1" applyBorder="1" applyAlignment="1">
      <alignment horizontal="left" vertical="center" wrapText="1"/>
    </xf>
    <xf numFmtId="0" fontId="11" fillId="2" borderId="20" xfId="0" applyFont="1" applyFill="1" applyBorder="1" applyAlignment="1">
      <alignment horizontal="left" vertical="center" wrapText="1"/>
    </xf>
    <xf numFmtId="2" fontId="11" fillId="2" borderId="21" xfId="0" applyNumberFormat="1" applyFont="1" applyFill="1" applyBorder="1" applyAlignment="1">
      <alignment horizontal="left" vertical="center" wrapText="1"/>
    </xf>
    <xf numFmtId="2" fontId="11" fillId="2" borderId="22" xfId="0" applyNumberFormat="1" applyFont="1" applyFill="1" applyBorder="1" applyAlignment="1">
      <alignment horizontal="left" vertical="center" wrapText="1"/>
    </xf>
    <xf numFmtId="0" fontId="16" fillId="0" borderId="12" xfId="2" applyFill="1" applyBorder="1" applyAlignment="1" applyProtection="1">
      <alignment horizontal="left" vertical="center" wrapText="1"/>
    </xf>
    <xf numFmtId="0" fontId="19" fillId="0" borderId="12" xfId="0" applyFont="1" applyBorder="1" applyAlignment="1">
      <alignment horizontal="left" vertical="center" wrapText="1"/>
    </xf>
    <xf numFmtId="0" fontId="20" fillId="0" borderId="0" xfId="0" applyFont="1" applyAlignment="1">
      <alignment horizontal="left" vertical="center" wrapText="1"/>
    </xf>
    <xf numFmtId="0" fontId="8" fillId="4" borderId="8" xfId="0" applyFont="1" applyFill="1" applyBorder="1" applyAlignment="1">
      <alignment horizontal="left" vertical="center" wrapText="1"/>
    </xf>
    <xf numFmtId="2" fontId="8" fillId="2" borderId="14" xfId="0" applyNumberFormat="1" applyFont="1" applyFill="1" applyBorder="1" applyAlignment="1">
      <alignment horizontal="left" vertical="center" wrapText="1"/>
    </xf>
    <xf numFmtId="0" fontId="14" fillId="0" borderId="5" xfId="0" applyFont="1" applyBorder="1" applyAlignment="1">
      <alignment horizontal="left" vertical="center" wrapText="1"/>
    </xf>
    <xf numFmtId="0" fontId="3" fillId="0" borderId="0" xfId="0" applyFont="1" applyAlignment="1">
      <alignment horizontal="left" vertical="center" wrapText="1"/>
    </xf>
    <xf numFmtId="0" fontId="11" fillId="4" borderId="11" xfId="0" applyFont="1" applyFill="1" applyBorder="1" applyAlignment="1">
      <alignment horizontal="left" vertical="center"/>
    </xf>
    <xf numFmtId="0" fontId="11" fillId="4" borderId="23" xfId="0" applyFont="1" applyFill="1" applyBorder="1" applyAlignment="1">
      <alignment horizontal="left" wrapText="1"/>
    </xf>
    <xf numFmtId="0" fontId="6" fillId="0" borderId="13" xfId="0" applyFont="1" applyBorder="1" applyAlignment="1">
      <alignment horizontal="left" vertical="center" wrapText="1"/>
    </xf>
    <xf numFmtId="0" fontId="11" fillId="4" borderId="23" xfId="0" applyFont="1" applyFill="1" applyBorder="1" applyAlignment="1">
      <alignment horizontal="left" vertical="center" wrapText="1"/>
    </xf>
    <xf numFmtId="2" fontId="11" fillId="2" borderId="14" xfId="0" applyNumberFormat="1" applyFont="1" applyFill="1" applyBorder="1" applyAlignment="1">
      <alignment horizontal="left" vertical="center" wrapText="1"/>
    </xf>
    <xf numFmtId="0" fontId="8" fillId="5" borderId="11" xfId="0" applyFont="1" applyFill="1" applyBorder="1" applyAlignment="1">
      <alignment horizontal="left" vertical="center"/>
    </xf>
    <xf numFmtId="0" fontId="8" fillId="5" borderId="10" xfId="0" applyFont="1" applyFill="1" applyBorder="1" applyAlignment="1">
      <alignment horizontal="left" vertical="center"/>
    </xf>
    <xf numFmtId="0" fontId="11" fillId="4" borderId="11" xfId="0" applyFont="1" applyFill="1" applyBorder="1" applyAlignment="1">
      <alignment horizontal="left" vertical="center" wrapText="1"/>
    </xf>
    <xf numFmtId="0" fontId="10" fillId="0" borderId="2" xfId="0" applyFont="1" applyBorder="1" applyAlignment="1">
      <alignment horizontal="left" vertical="center" wrapText="1"/>
    </xf>
    <xf numFmtId="0" fontId="15" fillId="0" borderId="2" xfId="1" applyFont="1" applyBorder="1" applyAlignment="1" applyProtection="1">
      <alignment horizontal="left" vertical="center" wrapText="1"/>
    </xf>
    <xf numFmtId="0" fontId="15" fillId="0" borderId="0" xfId="1" applyFont="1" applyBorder="1" applyAlignment="1" applyProtection="1">
      <alignment horizontal="left" vertical="center" wrapText="1"/>
    </xf>
    <xf numFmtId="0" fontId="8" fillId="4" borderId="2" xfId="0" applyFont="1" applyFill="1" applyBorder="1" applyAlignment="1">
      <alignment horizontal="left" vertical="center" wrapText="1"/>
    </xf>
    <xf numFmtId="2" fontId="14" fillId="3" borderId="2" xfId="0" applyNumberFormat="1" applyFont="1" applyFill="1" applyBorder="1" applyAlignment="1" applyProtection="1">
      <alignment horizontal="left" vertical="center" wrapText="1"/>
      <protection locked="0"/>
    </xf>
    <xf numFmtId="2" fontId="11" fillId="0" borderId="0" xfId="0" applyNumberFormat="1" applyFont="1" applyAlignment="1">
      <alignment horizontal="left" vertical="center" wrapText="1"/>
    </xf>
    <xf numFmtId="2" fontId="8" fillId="4" borderId="0" xfId="0" applyNumberFormat="1" applyFont="1" applyFill="1" applyAlignment="1">
      <alignment horizontal="left" vertical="center" wrapText="1"/>
    </xf>
    <xf numFmtId="0" fontId="21" fillId="0" borderId="0" xfId="0" applyFont="1" applyAlignment="1">
      <alignment horizontal="left" vertical="center" wrapText="1"/>
    </xf>
    <xf numFmtId="0" fontId="6" fillId="0" borderId="0" xfId="0" applyFont="1" applyAlignment="1">
      <alignment horizontal="left" vertical="center"/>
    </xf>
    <xf numFmtId="0" fontId="22" fillId="0" borderId="0" xfId="0" applyFont="1" applyAlignment="1">
      <alignment horizontal="left" vertical="center" wrapText="1"/>
    </xf>
    <xf numFmtId="0" fontId="8" fillId="4" borderId="23" xfId="0" applyFont="1" applyFill="1" applyBorder="1" applyAlignment="1">
      <alignment horizontal="left" vertical="center" wrapText="1"/>
    </xf>
    <xf numFmtId="0" fontId="6" fillId="4" borderId="0" xfId="0" applyFont="1" applyFill="1" applyAlignment="1">
      <alignment horizontal="left" vertical="center" wrapText="1"/>
    </xf>
    <xf numFmtId="0" fontId="14" fillId="6" borderId="2" xfId="0" applyFont="1" applyFill="1" applyBorder="1" applyAlignment="1" applyProtection="1">
      <alignment horizontal="left" vertical="center" wrapText="1"/>
      <protection locked="0"/>
    </xf>
    <xf numFmtId="0" fontId="14" fillId="6" borderId="0" xfId="0" applyFont="1" applyFill="1" applyAlignment="1" applyProtection="1">
      <alignment horizontal="left" vertical="center" wrapText="1"/>
      <protection locked="0"/>
    </xf>
    <xf numFmtId="0" fontId="14" fillId="0" borderId="17" xfId="0" applyFont="1" applyBorder="1" applyAlignment="1">
      <alignment horizontal="left" vertical="center" wrapText="1"/>
    </xf>
    <xf numFmtId="0" fontId="17" fillId="0" borderId="17" xfId="3" applyBorder="1" applyAlignment="1" applyProtection="1">
      <alignment horizontal="left" vertical="center" wrapText="1"/>
    </xf>
    <xf numFmtId="0" fontId="8" fillId="4" borderId="14" xfId="0" applyFont="1" applyFill="1" applyBorder="1" applyAlignment="1">
      <alignment horizontal="left" vertical="center" wrapText="1"/>
    </xf>
    <xf numFmtId="0" fontId="1" fillId="0" borderId="6" xfId="0" applyFont="1" applyBorder="1" applyAlignment="1">
      <alignment horizontal="left" wrapText="1"/>
    </xf>
    <xf numFmtId="0" fontId="11" fillId="4" borderId="8" xfId="0" applyFont="1" applyFill="1" applyBorder="1" applyAlignment="1">
      <alignment horizontal="left" vertical="center"/>
    </xf>
    <xf numFmtId="0" fontId="1" fillId="4" borderId="2" xfId="0" applyFont="1" applyFill="1" applyBorder="1" applyAlignment="1">
      <alignment horizontal="left" wrapText="1"/>
    </xf>
    <xf numFmtId="0" fontId="11" fillId="4" borderId="17" xfId="0" applyFont="1" applyFill="1" applyBorder="1" applyAlignment="1">
      <alignment horizontal="left" vertical="center"/>
    </xf>
    <xf numFmtId="2" fontId="11" fillId="4" borderId="21" xfId="0" applyNumberFormat="1" applyFont="1" applyFill="1" applyBorder="1" applyAlignment="1">
      <alignment horizontal="left" vertical="center" wrapText="1"/>
    </xf>
    <xf numFmtId="2" fontId="11" fillId="2" borderId="2" xfId="0" applyNumberFormat="1" applyFont="1" applyFill="1" applyBorder="1" applyAlignment="1">
      <alignment horizontal="left" vertical="center" wrapText="1"/>
    </xf>
    <xf numFmtId="0" fontId="6" fillId="0" borderId="0" xfId="0" applyFont="1" applyAlignment="1">
      <alignment wrapText="1"/>
    </xf>
    <xf numFmtId="0" fontId="6" fillId="0" borderId="0" xfId="0" applyFont="1" applyAlignment="1" applyProtection="1">
      <alignment horizontal="left" vertical="center" wrapText="1"/>
      <protection hidden="1"/>
    </xf>
    <xf numFmtId="2" fontId="6" fillId="0" borderId="0" xfId="0" applyNumberFormat="1" applyFont="1" applyAlignment="1">
      <alignment horizontal="left" vertical="center" wrapText="1"/>
    </xf>
    <xf numFmtId="0" fontId="7" fillId="0" borderId="0" xfId="0" applyFont="1" applyAlignment="1">
      <alignment horizontal="left" vertical="center" wrapText="1"/>
    </xf>
    <xf numFmtId="2" fontId="7" fillId="0" borderId="0" xfId="0" applyNumberFormat="1" applyFont="1" applyAlignment="1">
      <alignment horizontal="left" vertical="center" wrapText="1"/>
    </xf>
    <xf numFmtId="2" fontId="5" fillId="0" borderId="0" xfId="0" applyNumberFormat="1" applyFont="1" applyAlignment="1">
      <alignment horizontal="left" vertical="center" wrapText="1"/>
    </xf>
    <xf numFmtId="49" fontId="6" fillId="0" borderId="0" xfId="0" applyNumberFormat="1" applyFont="1" applyAlignment="1">
      <alignment horizontal="left" vertical="center" wrapText="1"/>
    </xf>
    <xf numFmtId="0" fontId="16" fillId="0" borderId="0" xfId="2" applyFill="1" applyBorder="1" applyAlignment="1" applyProtection="1">
      <alignment horizontal="left" vertical="center" wrapText="1"/>
    </xf>
    <xf numFmtId="0" fontId="5" fillId="0" borderId="0" xfId="0" applyFont="1" applyAlignment="1">
      <alignment horizontal="left" vertical="top" wrapText="1"/>
    </xf>
    <xf numFmtId="0" fontId="23" fillId="0" borderId="0" xfId="0" applyFont="1" applyAlignment="1">
      <alignment vertical="center" wrapText="1"/>
    </xf>
    <xf numFmtId="2" fontId="10" fillId="0" borderId="17" xfId="0" applyNumberFormat="1" applyFont="1" applyBorder="1" applyAlignment="1" applyProtection="1">
      <alignment horizontal="left" vertical="center" wrapText="1"/>
      <protection locked="0"/>
    </xf>
    <xf numFmtId="0" fontId="17" fillId="0" borderId="17" xfId="3" applyFill="1" applyBorder="1" applyAlignment="1" applyProtection="1">
      <alignment horizontal="left" vertical="center" wrapText="1"/>
    </xf>
    <xf numFmtId="0" fontId="10" fillId="0" borderId="14" xfId="0" applyFont="1" applyBorder="1" applyAlignment="1">
      <alignment horizontal="left" wrapText="1"/>
    </xf>
    <xf numFmtId="0" fontId="10" fillId="0" borderId="14" xfId="0" applyFont="1" applyBorder="1" applyAlignment="1" applyProtection="1">
      <alignment horizontal="left" wrapText="1"/>
      <protection locked="0"/>
    </xf>
    <xf numFmtId="0" fontId="10" fillId="0" borderId="15" xfId="0" applyFont="1" applyBorder="1" applyAlignment="1">
      <alignment horizontal="left" wrapText="1"/>
    </xf>
    <xf numFmtId="2" fontId="8" fillId="2" borderId="15" xfId="0" applyNumberFormat="1" applyFont="1" applyFill="1" applyBorder="1" applyAlignment="1">
      <alignment horizontal="left" vertical="center" wrapText="1"/>
    </xf>
    <xf numFmtId="0" fontId="11" fillId="4" borderId="10" xfId="1" applyFont="1" applyFill="1" applyBorder="1" applyAlignment="1" applyProtection="1">
      <alignment horizontal="left" vertical="center" wrapText="1"/>
    </xf>
    <xf numFmtId="0" fontId="15" fillId="0" borderId="14" xfId="1" applyFont="1" applyBorder="1" applyAlignment="1" applyProtection="1">
      <alignment horizontal="left" vertical="center" wrapText="1"/>
    </xf>
    <xf numFmtId="0" fontId="15" fillId="0" borderId="15" xfId="1" applyFont="1" applyBorder="1" applyAlignment="1" applyProtection="1">
      <alignment horizontal="left" vertical="center" wrapText="1"/>
    </xf>
    <xf numFmtId="0" fontId="17" fillId="0" borderId="6" xfId="3" applyFill="1" applyBorder="1" applyAlignment="1" applyProtection="1">
      <alignment horizontal="left" vertical="center" wrapText="1"/>
    </xf>
    <xf numFmtId="0" fontId="1" fillId="0" borderId="0" xfId="0" applyFont="1" applyAlignment="1">
      <alignment horizontal="left" vertical="center" wrapText="1"/>
    </xf>
    <xf numFmtId="0" fontId="17" fillId="2" borderId="19" xfId="3" applyFill="1" applyBorder="1" applyAlignment="1" applyProtection="1">
      <alignment horizontal="left" vertical="center" wrapText="1"/>
    </xf>
  </cellXfs>
  <cellStyles count="4">
    <cellStyle name="Heading 1" xfId="2" builtinId="16" customBuiltin="1"/>
    <cellStyle name="Heading 2" xfId="3" builtinId="17" customBuiltin="1"/>
    <cellStyle name="Hyperlink" xfId="1" builtinId="8"/>
    <cellStyle name="Normal" xfId="0" builtinId="0"/>
  </cellStyles>
  <dxfs count="115">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strike val="0"/>
        <outline val="0"/>
        <shadow val="0"/>
        <u val="none"/>
        <vertAlign val="baseline"/>
        <sz val="1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0" formatCode="@"/>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Arial"/>
        <family val="2"/>
        <scheme val="none"/>
      </font>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Arial"/>
        <family val="2"/>
        <scheme val="none"/>
      </font>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bottom style="thin">
          <color indexed="64"/>
        </bottom>
      </border>
    </dxf>
    <dxf>
      <border outline="0">
        <left style="thin">
          <color auto="1"/>
        </left>
        <right style="thin">
          <color auto="1"/>
        </right>
        <top style="thin">
          <color auto="1"/>
        </top>
        <bottom style="thin">
          <color auto="1"/>
        </bottom>
      </border>
    </dxf>
    <dxf>
      <alignment horizontal="left" vertical="center" textRotation="0" wrapText="1" indent="0" justifyLastLine="0" shrinkToFit="0" readingOrder="0"/>
      <protection locked="1" hidden="0"/>
    </dxf>
    <dxf>
      <alignment horizontal="left" vertical="center" textRotation="0" indent="0" justifyLastLine="0" shrinkToFit="0" readingOrder="0"/>
      <protection locked="1" hidden="0"/>
    </dxf>
    <dxf>
      <numFmt numFmtId="0" formatCode="Genera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numFmt numFmtId="0" formatCode="General"/>
      <alignment horizontal="left" vertical="center" textRotation="0" wrapText="1" indent="0" justifyLastLine="0" shrinkToFit="0" readingOrder="0"/>
      <protection locked="1" hidden="0"/>
    </dxf>
    <dxf>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9" tint="0.79998168889431442"/>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0"/>
    </dxf>
    <dxf>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2"/>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bottom" textRotation="0" wrapText="1" indent="0" justifyLastLine="0" shrinkToFit="0" readingOrder="0"/>
      <protection locked="1" hidden="0"/>
    </dxf>
    <dxf>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theme="2"/>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9"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theme="9" tint="0.79998168889431442"/>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outline="0">
        <bottom style="thin">
          <color indexed="64"/>
        </bottom>
      </border>
    </dxf>
    <dxf>
      <border diagonalUp="0" diagonalDown="0">
        <left style="thin">
          <color indexed="64"/>
        </left>
        <right style="thin">
          <color indexed="64"/>
        </right>
        <top style="thin">
          <color indexed="64"/>
        </top>
        <bottom style="thin">
          <color indexed="64"/>
        </bottom>
      </border>
    </dxf>
    <dxf>
      <alignment horizontal="left" vertical="center" textRotation="0" indent="0" justifyLastLine="0" shrinkToFit="0" readingOrder="0"/>
      <protection locked="1" hidden="0"/>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alignment horizontal="left" vertical="center" textRotation="0" wrapText="1" indent="0" justifyLastLine="0" shrinkToFit="0" readingOrder="0"/>
      <protection locked="1" hidden="0"/>
    </dxf>
    <dxf>
      <font>
        <strike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color theme="1"/>
      </font>
    </dxf>
    <dxf>
      <font>
        <b/>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auto="1"/>
        </left>
        <right style="thin">
          <color theme="1"/>
        </right>
        <top style="thin">
          <color auto="1"/>
        </top>
        <bottom/>
      </border>
      <protection locked="1" hidden="0"/>
    </dxf>
    <dxf>
      <alignment horizontal="left" textRotation="0" indent="0" justifyLastLine="0" shrinkToFit="0" readingOrder="0"/>
      <protection locked="1" hidden="0"/>
    </dxf>
    <dxf>
      <border outline="0">
        <bottom style="thin">
          <color auto="1"/>
        </bottom>
      </border>
    </dxf>
    <dxf>
      <border outline="0">
        <left style="thin">
          <color auto="1"/>
        </left>
        <top style="thin">
          <color auto="1"/>
        </top>
        <bottom style="thin">
          <color indexed="64"/>
        </bottom>
      </border>
    </dxf>
    <dxf>
      <alignment horizontal="left" textRotation="0" indent="0" justifyLastLine="0" shrinkToFit="0" readingOrder="0"/>
      <protection locked="1" hidden="0"/>
    </dxf>
    <dxf>
      <fill>
        <patternFill patternType="solid">
          <fgColor indexed="64"/>
          <bgColor theme="2"/>
        </patternFill>
      </fill>
      <alignment horizontal="left" textRotation="0" indent="0" justifyLastLine="0" shrinkToFit="0" readingOrder="0"/>
      <protection locked="1" hidden="0"/>
    </dxf>
    <dxf>
      <font>
        <strike val="0"/>
        <outline val="0"/>
        <shadow val="0"/>
        <u val="none"/>
        <vertAlign val="baseline"/>
        <sz val="12"/>
        <color auto="1"/>
        <name val="Arial"/>
        <family val="2"/>
        <scheme val="none"/>
      </font>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alignment horizontal="left" textRotation="0" indent="0" justifyLastLine="0" shrinkToFit="0" readingOrder="0"/>
      <protection locked="1" hidden="0"/>
    </dxf>
    <dxf>
      <font>
        <b/>
      </font>
      <alignment horizontal="left" textRotation="0" indent="0" justifyLastLine="0" shrinkToFit="0" readingOrder="0"/>
      <border diagonalUp="0" diagonalDown="0">
        <left style="thin">
          <color indexed="64"/>
        </left>
        <right style="thin">
          <color indexed="64"/>
        </right>
        <top/>
        <bottom/>
      </border>
      <protection locked="1" hidden="0"/>
    </dxf>
    <dxf>
      <fill>
        <patternFill>
          <bgColor rgb="FFE2EFDA"/>
        </patternFill>
      </fill>
    </dxf>
    <dxf>
      <font>
        <strike val="0"/>
        <outline val="0"/>
        <shadow val="0"/>
        <vertAlign val="baseline"/>
        <sz val="12"/>
        <name val="Arial"/>
        <family val="2"/>
        <scheme val="none"/>
      </font>
      <alignment horizontal="lef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vertAlign val="baseline"/>
        <name val="Arial"/>
        <family val="2"/>
        <scheme val="none"/>
      </font>
      <alignment horizontal="left" vertical="center" textRotation="0" indent="0" justifyLastLine="0" shrinkToFit="0" readingOrder="0"/>
    </dxf>
    <dxf>
      <font>
        <b/>
        <strike val="0"/>
        <outline val="0"/>
        <shadow val="0"/>
        <u val="none"/>
        <vertAlign val="baseline"/>
        <color auto="1"/>
        <name val="Arial"/>
        <family val="2"/>
        <scheme val="none"/>
      </font>
      <fill>
        <patternFill patternType="solid">
          <fgColor indexed="64"/>
          <bgColor theme="2"/>
        </patternFill>
      </fill>
      <alignment horizontal="left"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theme="10"/>
        <name val="Arial"/>
        <family val="2"/>
        <scheme val="none"/>
      </font>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protection locked="1" hidden="0"/>
    </dxf>
    <dxf>
      <font>
        <strike val="0"/>
        <outline val="0"/>
        <shadow val="0"/>
        <vertAlign val="baseline"/>
        <name val="Arial"/>
        <family val="2"/>
        <scheme val="none"/>
      </font>
      <alignment horizontal="left" vertical="center" textRotation="0" indent="0" justifyLastLine="0" shrinkToFit="0" readingOrder="0"/>
    </dxf>
    <dxf>
      <font>
        <b/>
        <strike val="0"/>
        <outline val="0"/>
        <shadow val="0"/>
        <vertAlign val="baseline"/>
        <name val="Arial"/>
        <family val="2"/>
        <scheme val="none"/>
      </font>
      <fill>
        <patternFill patternType="solid">
          <fgColor indexed="64"/>
          <bgColor theme="2"/>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EDEDED"/>
      <color rgb="FFE2EFDA"/>
      <color rgb="FF000000"/>
      <color rgb="FF449669"/>
      <color rgb="FFF7E8BE"/>
      <color rgb="FF9DD3BE"/>
      <color rgb="FFAAC7EE"/>
      <color rgb="FFF3EEDD"/>
      <color rgb="FF9DDBBE"/>
      <color rgb="FFC5C5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EBF9311-A278-4083-BF4D-937B4AAC2ED7}" name="Table_1_Links" displayName="Table_1_Links" ref="A9:B14" totalsRowShown="0" headerRowDxfId="114" dataDxfId="113">
  <autoFilter ref="A9:B14" xr:uid="{7EBF9311-A278-4083-BF4D-937B4AAC2ED7}">
    <filterColumn colId="0" hiddenButton="1"/>
    <filterColumn colId="1" hiddenButton="1"/>
  </autoFilter>
  <tableColumns count="2">
    <tableColumn id="1" xr3:uid="{EC08AA9D-D8AA-4D04-81C0-5F70E5CFF32B}" name="Topic of each table" dataDxfId="112"/>
    <tableColumn id="2" xr3:uid="{8626C486-F03D-46F8-B4FF-6F484971E7CB}" name="Link to each worksheet" dataDxfId="111"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165:A182" totalsRowShown="0" headerRowDxfId="49" dataDxfId="48">
  <autoFilter ref="A165:A182" xr:uid="{27E373C5-D0CE-42F2-9526-68F6C3493A4E}">
    <filterColumn colId="0" hiddenButton="1"/>
  </autoFilter>
  <tableColumns count="1">
    <tableColumn id="1" xr3:uid="{53B368C1-8BC9-40BE-BF12-2BD44CBABE8A}" name="All Possible Landcover Types" dataDxfId="47"/>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160:B162" totalsRowShown="0" headerRowDxfId="46" dataDxfId="45">
  <autoFilter ref="A160:B162" xr:uid="{92ED230A-D03F-4AFE-B6E2-A2C0CA247A6E}">
    <filterColumn colId="0" hiddenButton="1"/>
    <filterColumn colId="1" hiddenButton="1"/>
  </autoFilter>
  <tableColumns count="2">
    <tableColumn id="1" xr3:uid="{733091DA-D7C2-4BC5-B808-44E4059922C0}" name="NVZ" dataDxfId="44"/>
    <tableColumn id="2" xr3:uid="{F0C58FBC-95F8-49DE-8689-2F83AB0C11EB}" name="Farmscoper equivalent" dataDxfId="43"/>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151:C157" totalsRowShown="0" headerRowDxfId="42" dataDxfId="41">
  <autoFilter ref="A151:C157" xr:uid="{1A6CB2E1-69B4-4AD4-994C-659133C27DDB}">
    <filterColumn colId="0" hiddenButton="1"/>
    <filterColumn colId="1" hiddenButton="1"/>
    <filterColumn colId="2" hiddenButton="1"/>
  </autoFilter>
  <tableColumns count="3">
    <tableColumn id="1" xr3:uid="{22766906-A0A6-4E97-AF30-1597153F0350}" name="Soilscape drainage term" dataDxfId="40"/>
    <tableColumn id="2" xr3:uid="{F002BB36-823A-4836-A21B-B579E90BABD3}" name="Farmscoper term" dataDxfId="39"/>
    <tableColumn id="3" xr3:uid="{9175DC56-F38C-4D28-A172-11226D1D23E9}" name="Definition" dataDxfId="38"/>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147:B148" totalsRowShown="0" headerRowDxfId="37" dataDxfId="36">
  <autoFilter ref="A147:B148" xr:uid="{91B3FB2B-EB57-4104-B68D-005ACE17DAAA}">
    <filterColumn colId="0" hiddenButton="1"/>
    <filterColumn colId="1" hiddenButton="1"/>
  </autoFilter>
  <tableColumns count="2">
    <tableColumn id="1" xr3:uid="{89EA0223-64FE-4218-878D-A564ADBADDD1}" name="Operational Catchment" dataDxfId="35"/>
    <tableColumn id="2" xr3:uid="{EFCB9C34-1A22-413A-B569-EB7D0539CE10}" name="Farmscoper equivalent" dataDxfId="34"/>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121:K144" totalsRowShown="0" headerRowDxfId="33" dataDxfId="32">
  <autoFilter ref="A121:K144"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1"/>
    <tableColumn id="2" xr3:uid="{6314E66D-7991-4DDA-9A1D-1FE2961CCE28}" name="Mid" dataDxfId="30"/>
    <tableColumn id="3" xr3:uid="{0B72D170-B3FB-410B-B94E-238D55DCBE68}" name="Farmscoper Equivalent" dataDxfId="29"/>
    <tableColumn id="4" xr3:uid="{0F992BC0-BDCD-49A0-800D-DE9390E83D4D}" name="P Urban Runoff Coefficient " dataDxfId="28"/>
    <tableColumn id="5" xr3:uid="{CC4E8ED1-10B1-497F-85BB-B21C5930A734}" name="N Urban Runoff Coefficient (kg/ha/yr)" dataDxfId="27"/>
    <tableColumn id="6" xr3:uid="{8AA02858-4B6E-42E1-8EB2-D3C4BAB72698}" name="Residential P export coefficient (kg/ha/yr)" dataDxfId="26"/>
    <tableColumn id="7" xr3:uid="{24BE5444-EEC8-44A1-8B49-79261DDC1D84}" name="Commercial / industrial P export coefficient (kg/ha/yr)" dataDxfId="25"/>
    <tableColumn id="8" xr3:uid="{3D907FB1-AFBD-4D65-A7C1-7FCBDBA7E010}" name="Open urban P export coefficient (kg/ha/yr)" dataDxfId="24"/>
    <tableColumn id="9" xr3:uid="{659D953B-CEE1-475B-B79F-09EDE2124F89}" name="Residential P export coefficient (kg/ha/yr)2" dataDxfId="23"/>
    <tableColumn id="10" xr3:uid="{B077E248-9579-43F2-9FD4-BCCA722D6FC1}" name="Commercial / industrial P export coefficient (kg/ha/yr)3" dataDxfId="22"/>
    <tableColumn id="11" xr3:uid="{106BF2CF-BA30-4A6D-AF89-E886BEBDE8D6}" name="Open urban P export coefficient (kg/ha/yr)4" dataDxfId="21"/>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14:M118" totalsRowShown="0" headerRowDxfId="20" dataDxfId="19">
  <autoFilter ref="A14:M118"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18"/>
    <tableColumn id="2" xr3:uid="{B8D75754-E7F8-4B85-993C-7907E45F1CAE}" name="Farmscoper Farm Term" dataDxfId="17"/>
    <tableColumn id="3" xr3:uid="{EC77A0A4-C437-4818-A316-7C71A29A7121}" name="NVZ" dataDxfId="16"/>
    <tableColumn id="4" xr3:uid="{B98F73F4-9677-4844-877F-8A359508FB3B}" name="Climate" dataDxfId="15"/>
    <tableColumn id="5" xr3:uid="{7C621915-7D3D-4055-8347-C883D9EE99FE}" name="Farmscoper Soil Drainage Term" dataDxfId="14"/>
    <tableColumn id="6" xr3:uid="{4C66E893-8377-439B-93D4-1CE695F419C9}" name="Lookup" dataDxfId="13">
      <calculatedColumnFormula>"|"&amp;"|"&amp;"|"&amp;E15</calculatedColumnFormula>
    </tableColumn>
    <tableColumn id="7" xr3:uid="{CF6B9BF0-3AFB-4049-8321-66DDFD8F9508}" name="Column3" dataDxfId="12"/>
    <tableColumn id="8" xr3:uid="{EBD2571A-6A4E-4448-BEB2-CCC5A7E48254}" name="Phosphorus export coefficient" dataDxfId="11"/>
    <tableColumn id="9" xr3:uid="{96CC571C-13E4-474B-8016-76B1B26E6BAE}" name="Farm Lookup" dataDxfId="10"/>
    <tableColumn id="10" xr3:uid="{511A3753-F9BA-45C6-B34A-6CC17D10251D}" name="Column1" dataDxfId="9"/>
    <tableColumn id="11" xr3:uid="{A4A4CA5F-B40A-4D96-B1F7-2F58E7D4D811}" name="Mean P export of farm type and climate combination" dataDxfId="8"/>
    <tableColumn id="12" xr3:uid="{6A6F3AA5-4A40-440E-9BBC-E26F5AF39750}" name="Column2" dataDxfId="7"/>
    <tableColumn id="13" xr3:uid="{EF05C3C7-DB49-4B8E-8C81-E6CFAC3E3633}" name="Mean P export of farm type" dataDxfId="6"/>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D11" totalsRowShown="0" headerRowDxfId="5" dataDxfId="4">
  <autoFilter ref="A4:D11" xr:uid="{8297F6D2-7293-4422-8A67-AEAD142206BE}">
    <filterColumn colId="0" hiddenButton="1"/>
    <filterColumn colId="1" hiddenButton="1"/>
    <filterColumn colId="2" hiddenButton="1"/>
    <filterColumn colId="3" hiddenButton="1"/>
  </autoFilter>
  <tableColumns count="4">
    <tableColumn id="1" xr3:uid="{48A0BD24-7BCD-463A-B827-831E2B2C2D72}" name="Discharge Site Name" dataDxfId="3"/>
    <tableColumn id="2" xr3:uid="{1CC474C8-63E1-4F68-A098-5E908E40DA49}" name="Phosphorus, Total as P (mg/l)" dataDxfId="2"/>
    <tableColumn id="3" xr3:uid="{2E3488FB-E48E-4A15-AFE7-EF2D95C19F27}" name="Phosphorus, Total as P (mg/l), permit post 2025" dataDxfId="1"/>
    <tableColumn id="4" xr3:uid="{94BDE985-E688-430A-9815-4EDF1FE7157B}" name="Phosphorus, Total as P (mg/l), permit post 2030" dataDxfId="0"/>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4981484-4795-461F-A3C7-626CD012A06C}" name="Table_2_Links" displayName="Table_2_Links" ref="A40:B44" totalsRowShown="0" headerRowDxfId="110" dataDxfId="109" headerRowBorderDxfId="107" tableBorderDxfId="108" totalsRowBorderDxfId="106">
  <autoFilter ref="A40:B44" xr:uid="{64981484-4795-461F-A3C7-626CD012A06C}">
    <filterColumn colId="0" hiddenButton="1"/>
    <filterColumn colId="1" hiddenButton="1"/>
  </autoFilter>
  <tableColumns count="2">
    <tableColumn id="1" xr3:uid="{7B0543B4-03E3-4FAF-BFF9-98B834A2A253}" name="Description of the information:" dataDxfId="105"/>
    <tableColumn id="2" xr3:uid="{5C5EB3D3-CF00-43BE-8853-5602F78856CB}" name="Link" dataDxfId="104"/>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2" totalsRowShown="0" headerRowDxfId="102" dataDxfId="101" headerRowBorderDxfId="99" tableBorderDxfId="100" totalsRowBorderDxfId="98">
  <autoFilter ref="A4:C12" xr:uid="{A1B5B190-0D99-4438-A727-7A56D64D1229}">
    <filterColumn colId="0" hiddenButton="1"/>
    <filterColumn colId="1" hiddenButton="1"/>
    <filterColumn colId="2" hiddenButton="1"/>
  </autoFilter>
  <tableColumns count="3">
    <tableColumn id="1" xr3:uid="{CB73BF63-0885-411C-A54D-2DF95FDFC003}" name="Description of required information" dataDxfId="97"/>
    <tableColumn id="2" xr3:uid="{D22CDBE7-9B75-4248-A951-0D061DAA9F1C}" name="Data entry column" dataDxfId="96"/>
    <tableColumn id="4" xr3:uid="{20424A8D-23FA-4C1D-B394-6A4A0726E8D6}" name="Additional data entry column" dataDxfId="95"/>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4:B22" totalsRowShown="0" headerRowDxfId="94" dataDxfId="93" headerRowBorderDxfId="91" tableBorderDxfId="92">
  <autoFilter ref="A14:B22" xr:uid="{B50C45A2-2A77-478E-B226-DC5B3B2EA72E}">
    <filterColumn colId="0" hiddenButton="1"/>
    <filterColumn colId="1" hiddenButton="1"/>
  </autoFilter>
  <tableColumns count="2">
    <tableColumn id="1" xr3:uid="{FA8C78F6-50A3-498F-8975-6D1EC817B86B}" name="Description of values generated" dataDxfId="90"/>
    <tableColumn id="2" xr3:uid="{150A0AA5-FDF2-4BA1-A9A8-36A566F3E6CC}" name="Values generated" dataDxfId="89"/>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87" dataDxfId="86" headerRowBorderDxfId="84" tableBorderDxfId="85" totalsRowBorderDxfId="83">
  <autoFilter ref="A4:B8" xr:uid="{E51AE02F-7B0C-4640-BEBD-8FD46432F29C}">
    <filterColumn colId="0" hiddenButton="1"/>
    <filterColumn colId="1" hiddenButton="1"/>
  </autoFilter>
  <tableColumns count="2">
    <tableColumn id="1" xr3:uid="{C513A266-837A-4378-8552-D156135B549F}" name="Description of required information" dataDxfId="82"/>
    <tableColumn id="2" xr3:uid="{9FEADC6D-D9F7-40A8-AB95-390DAB627A00}" name="Data entry Column" dataDxfId="81"/>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D28" totalsRowShown="0" headerRowDxfId="80" dataDxfId="79" headerRowBorderDxfId="77" tableBorderDxfId="78" totalsRowBorderDxfId="76">
  <autoFilter ref="A10:D28" xr:uid="{2F2DD0FD-3B2D-41B9-B376-162F1F698B17}">
    <filterColumn colId="0" hiddenButton="1"/>
    <filterColumn colId="1" hiddenButton="1"/>
    <filterColumn colId="2" hiddenButton="1"/>
    <filterColumn colId="3" hiddenButton="1"/>
  </autoFilter>
  <tableColumns count="4">
    <tableColumn id="1" xr3:uid="{2FA17B9E-8276-4D3C-A7AA-EA01ABD0CACA}" name="Existing land use type(s)" dataDxfId="75"/>
    <tableColumn id="2" xr3:uid="{DA6AF240-7DDF-40CC-B3C9-0A6C10900A68}" name="Area (ha)" dataDxfId="74"/>
    <tableColumn id="4" xr3:uid="{D46D9DE3-2913-45A9-81EF-5C0B16A60B70}" name="Annual phosphorus export  _x000a_(kg TP/yr)" dataDxfId="73"/>
    <tableColumn id="5" xr3:uid="{B35F3CE8-F7D9-4526-B8D6-064B09EE0E77}" name="Notes on data" dataDxfId="72"/>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C22" totalsRowShown="0" headerRowDxfId="71" dataDxfId="70">
  <autoFilter ref="A4:C22" xr:uid="{4057B598-0CAB-42EF-BD1C-CD9464EFF558}">
    <filterColumn colId="0" hiddenButton="1"/>
    <filterColumn colId="1" hiddenButton="1"/>
    <filterColumn colId="2" hiddenButton="1"/>
  </autoFilter>
  <tableColumns count="3">
    <tableColumn id="1" xr3:uid="{E733CC69-D292-417A-89E1-BDB32D6E70AE}" name="New land use type(s)" dataDxfId="69"/>
    <tableColumn id="2" xr3:uid="{2BF0443C-5885-452F-9860-409F1647E1C1}" name="Area (ha)" dataDxfId="68"/>
    <tableColumn id="4" xr3:uid="{D4EA72A6-0C9C-4A1E-8AAC-10EB38F195A8}" name="Annual phosphorus export_x000a_(kg TP/yr)" dataDxfId="67"/>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3:H29" totalsRowShown="0" headerRowDxfId="66" dataDxfId="65">
  <autoFilter ref="A3:H29"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DF9EA9-1FAE-44BF-9739-66E3DB42A5C2}" name="New land use type(s) within SuDS catchment area" dataDxfId="64"/>
    <tableColumn id="2" xr3:uid="{72D29FD7-7898-4191-A97D-55B2AC2A6039}" name="SuDS catchment area (ha)" dataDxfId="63"/>
    <tableColumn id="10" xr3:uid="{C118AB6C-A0C7-46A0-B4D4-823E8172F281}" name="Percentage of flow entering the SuDS (%)" dataDxfId="62"/>
    <tableColumn id="4" xr3:uid="{C9DF269B-9235-47CA-9628-CA0EAEA7E887}" name="Annual phosphorus inputs to SuDS feature(s)_x000a_(kg T/yr)" dataDxfId="61">
      <calculatedColumnFormula>IFERROR(IF(ISBLANK(A4),"",IF(ISBLANK(B4),"",VLOOKUP(A4,Nutrients_from_future_land_use!$A$5:$C$21,4,FALSE)*(B4/VLOOKUP(A4,Nutrients_from_future_land_use!$A$5:$C$21,2,FALSE)))),"")</calculatedColumnFormula>
    </tableColumn>
    <tableColumn id="5" xr3:uid="{95439CAD-05D0-4028-94D4-451B848D06FE}" name="Name of SuDS feature(s)" dataDxfId="60"/>
    <tableColumn id="8" xr3:uid="{6CE040BE-33E5-44DA-B389-E1BC789E21E5}" name="TP removal rate for features - user specified (%)" dataDxfId="59">
      <calculatedColumnFormula>IF(OR(#REF!="No",ISBLANK(#REF!)),"",IF(#REF!="Yes","","TN removal rate - user specified (%)"))</calculatedColumnFormula>
    </tableColumn>
    <tableColumn id="14" xr3:uid="{1156F97A-C06E-4041-A8E9-274F94CC02BE}" name="Annual phosphorus load removed by SuDS_x000a_(kg TP/yr)" dataDxfId="58"/>
    <tableColumn id="6" xr3:uid="{E06A970A-6835-4E49-9119-FEAF7BC8D4A0}" name="Notes on data" dataDxfId="57">
      <calculatedColumnFormula>IF(SUMIFS($B$4:$B$28,$A$4:$A$28,A4)&gt;SUMIFS(Nutrients_from_future_land_use!$B$5:$B$21,Nutrients_from_future_land_use!$A$5:$A$21,A4),"Area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14" totalsRowShown="0" headerRowDxfId="56" dataDxfId="55" headerRowBorderDxfId="53" tableBorderDxfId="54" totalsRowBorderDxfId="52">
  <autoFilter ref="A4:B14" xr:uid="{A0BD0106-977A-4B15-9C53-C66CDF6772BD}">
    <filterColumn colId="0" hiddenButton="1"/>
    <filterColumn colId="1" hiddenButton="1"/>
  </autoFilter>
  <tableColumns count="2">
    <tableColumn id="1" xr3:uid="{31004191-352C-44A7-A242-30E88F4CD5ED}" name="Description of values generated" dataDxfId="51"/>
    <tableColumn id="2" xr3:uid="{C357CE45-1FD7-4EF9-804B-579D3A1CC1A7}" name="Values generated" dataDxfId="50"/>
  </tableColumns>
  <tableStyleInfo name="Table Style 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mapapps2.bgs.ac.uk/ukso/home.html?layers=NVZEng" TargetMode="External"/><Relationship Id="rId7" Type="http://schemas.openxmlformats.org/officeDocument/2006/relationships/table" Target="../tables/table2.xml"/><Relationship Id="rId2" Type="http://schemas.openxmlformats.org/officeDocument/2006/relationships/hyperlink" Target="https://www.landis.org.uk/soilscapes/" TargetMode="External"/><Relationship Id="rId1" Type="http://schemas.openxmlformats.org/officeDocument/2006/relationships/hyperlink" Target="http://environment.data.gov.uk/catchment-planning/" TargetMode="External"/><Relationship Id="rId6" Type="http://schemas.openxmlformats.org/officeDocument/2006/relationships/table" Target="../tables/table1.xml"/><Relationship Id="rId5" Type="http://schemas.openxmlformats.org/officeDocument/2006/relationships/printerSettings" Target="../printerSettings/printerSettings1.bin"/><Relationship Id="rId4" Type="http://schemas.openxmlformats.org/officeDocument/2006/relationships/hyperlink" Target="https://nrfa.ceh.ac.uk/data/station/spatial/73005"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8E870-F6D2-45FD-BDCF-7C4BDF214AFB}">
  <dimension ref="A1:B66"/>
  <sheetViews>
    <sheetView tabSelected="1" zoomScaleNormal="100" workbookViewId="0"/>
  </sheetViews>
  <sheetFormatPr defaultColWidth="8.85546875" defaultRowHeight="15"/>
  <cols>
    <col min="1" max="1" width="132.42578125" style="3" customWidth="1"/>
    <col min="2" max="2" width="44.85546875" style="3" customWidth="1"/>
    <col min="3" max="207" width="8.5703125" style="3" customWidth="1"/>
    <col min="208" max="16384" width="8.85546875" style="3"/>
  </cols>
  <sheetData>
    <row r="1" spans="1:2" ht="50.25" customHeight="1">
      <c r="A1" s="12" t="s">
        <v>0</v>
      </c>
    </row>
    <row r="2" spans="1:2" ht="26.25" customHeight="1">
      <c r="A2" s="2" t="s">
        <v>1</v>
      </c>
    </row>
    <row r="3" spans="1:2" ht="30.75" customHeight="1">
      <c r="A3" s="2" t="s">
        <v>2</v>
      </c>
    </row>
    <row r="4" spans="1:2" ht="26.25" customHeight="1">
      <c r="A4" s="2" t="s">
        <v>3</v>
      </c>
    </row>
    <row r="5" spans="1:2" ht="26.25" customHeight="1">
      <c r="A5" s="3" t="s">
        <v>4</v>
      </c>
    </row>
    <row r="6" spans="1:2" ht="45.95" customHeight="1">
      <c r="A6" s="3" t="s">
        <v>5</v>
      </c>
    </row>
    <row r="7" spans="1:2" ht="36" customHeight="1">
      <c r="A7" s="3" t="s">
        <v>6</v>
      </c>
    </row>
    <row r="8" spans="1:2" ht="37.5" customHeight="1">
      <c r="A8" s="11" t="s">
        <v>7</v>
      </c>
    </row>
    <row r="9" spans="1:2" ht="15.75">
      <c r="A9" s="13" t="s">
        <v>8</v>
      </c>
      <c r="B9" s="13" t="s">
        <v>9</v>
      </c>
    </row>
    <row r="10" spans="1:2" ht="18" customHeight="1">
      <c r="A10" s="71" t="s">
        <v>10</v>
      </c>
      <c r="B10" s="72" t="s">
        <v>11</v>
      </c>
    </row>
    <row r="11" spans="1:2" ht="18" customHeight="1">
      <c r="A11" s="71" t="s">
        <v>12</v>
      </c>
      <c r="B11" s="72" t="s">
        <v>13</v>
      </c>
    </row>
    <row r="12" spans="1:2" ht="18" customHeight="1">
      <c r="A12" s="71" t="s">
        <v>14</v>
      </c>
      <c r="B12" s="72" t="s">
        <v>15</v>
      </c>
    </row>
    <row r="13" spans="1:2" ht="18" customHeight="1">
      <c r="A13" s="71" t="s">
        <v>16</v>
      </c>
      <c r="B13" s="72" t="s">
        <v>17</v>
      </c>
    </row>
    <row r="14" spans="1:2" ht="18" customHeight="1">
      <c r="A14" s="71" t="s">
        <v>18</v>
      </c>
      <c r="B14" s="72" t="s">
        <v>19</v>
      </c>
    </row>
    <row r="15" spans="1:2" ht="37.5" customHeight="1">
      <c r="A15" s="11" t="s">
        <v>20</v>
      </c>
      <c r="B15" s="73"/>
    </row>
    <row r="16" spans="1:2" ht="20.25" customHeight="1">
      <c r="A16" s="2" t="s">
        <v>21</v>
      </c>
    </row>
    <row r="17" spans="1:1" ht="36.75" customHeight="1">
      <c r="A17" s="2" t="s">
        <v>22</v>
      </c>
    </row>
    <row r="18" spans="1:1" ht="36.75" customHeight="1">
      <c r="A18" s="2" t="s">
        <v>23</v>
      </c>
    </row>
    <row r="19" spans="1:1" ht="62.45" customHeight="1">
      <c r="A19" s="2" t="s">
        <v>24</v>
      </c>
    </row>
    <row r="20" spans="1:1" ht="33" customHeight="1">
      <c r="A20" s="2" t="s">
        <v>25</v>
      </c>
    </row>
    <row r="21" spans="1:1" ht="20.25" customHeight="1">
      <c r="A21" s="3" t="s">
        <v>26</v>
      </c>
    </row>
    <row r="22" spans="1:1" ht="35.25" customHeight="1">
      <c r="A22" s="2" t="s">
        <v>27</v>
      </c>
    </row>
    <row r="23" spans="1:1" ht="16.5" customHeight="1">
      <c r="A23" s="2" t="s">
        <v>28</v>
      </c>
    </row>
    <row r="24" spans="1:1" ht="36" customHeight="1">
      <c r="A24" s="2" t="s">
        <v>29</v>
      </c>
    </row>
    <row r="25" spans="1:1" ht="51" customHeight="1">
      <c r="A25" s="2" t="s">
        <v>30</v>
      </c>
    </row>
    <row r="26" spans="1:1" ht="34.5" customHeight="1">
      <c r="A26" s="2" t="s">
        <v>31</v>
      </c>
    </row>
    <row r="27" spans="1:1" ht="37.5" customHeight="1">
      <c r="A27" s="11" t="s">
        <v>32</v>
      </c>
    </row>
    <row r="28" spans="1:1" ht="20.25" customHeight="1">
      <c r="A28" s="3" t="s">
        <v>33</v>
      </c>
    </row>
    <row r="29" spans="1:1" ht="50.25" customHeight="1">
      <c r="A29" s="3" t="s">
        <v>34</v>
      </c>
    </row>
    <row r="30" spans="1:1" ht="51.75" customHeight="1">
      <c r="A30" s="3" t="s">
        <v>35</v>
      </c>
    </row>
    <row r="31" spans="1:1" ht="84.75" customHeight="1">
      <c r="A31" s="3" t="s">
        <v>36</v>
      </c>
    </row>
    <row r="32" spans="1:1" ht="79.5" customHeight="1">
      <c r="A32" s="3" t="s">
        <v>37</v>
      </c>
    </row>
    <row r="33" spans="1:2" ht="46.5" customHeight="1">
      <c r="A33" s="3" t="s">
        <v>38</v>
      </c>
    </row>
    <row r="34" spans="1:2" ht="66.75" customHeight="1">
      <c r="A34" s="3" t="s">
        <v>39</v>
      </c>
    </row>
    <row r="35" spans="1:2" ht="37.5" customHeight="1">
      <c r="A35" s="11" t="s">
        <v>40</v>
      </c>
    </row>
    <row r="36" spans="1:2" ht="79.5" customHeight="1">
      <c r="A36" s="3" t="s">
        <v>41</v>
      </c>
    </row>
    <row r="37" spans="1:2" ht="62.25" customHeight="1">
      <c r="A37" s="3" t="s">
        <v>42</v>
      </c>
    </row>
    <row r="38" spans="1:2" ht="21.75" customHeight="1">
      <c r="A38" s="3" t="s">
        <v>43</v>
      </c>
    </row>
    <row r="39" spans="1:2" ht="37.5" customHeight="1">
      <c r="A39" s="11" t="s">
        <v>44</v>
      </c>
    </row>
    <row r="40" spans="1:2" ht="15.75">
      <c r="A40" s="70" t="s">
        <v>45</v>
      </c>
      <c r="B40" s="110" t="s">
        <v>46</v>
      </c>
    </row>
    <row r="41" spans="1:2" ht="31.5" customHeight="1">
      <c r="A41" s="36" t="s">
        <v>47</v>
      </c>
      <c r="B41" s="111" t="s">
        <v>48</v>
      </c>
    </row>
    <row r="42" spans="1:2" ht="19.5" customHeight="1">
      <c r="A42" s="36" t="s">
        <v>49</v>
      </c>
      <c r="B42" s="111" t="s">
        <v>50</v>
      </c>
    </row>
    <row r="43" spans="1:2" ht="35.25" customHeight="1">
      <c r="A43" s="36" t="s">
        <v>51</v>
      </c>
      <c r="B43" s="111" t="s">
        <v>52</v>
      </c>
    </row>
    <row r="44" spans="1:2" ht="32.25" customHeight="1">
      <c r="A44" s="61" t="s">
        <v>53</v>
      </c>
      <c r="B44" s="112" t="s">
        <v>54</v>
      </c>
    </row>
    <row r="45" spans="1:2" ht="37.5" customHeight="1">
      <c r="A45" s="86" t="s">
        <v>55</v>
      </c>
      <c r="B45" s="85"/>
    </row>
    <row r="46" spans="1:2" ht="51.75" customHeight="1">
      <c r="A46" s="3" t="s">
        <v>56</v>
      </c>
    </row>
    <row r="47" spans="1:2" ht="68.25" customHeight="1">
      <c r="A47" s="3" t="s">
        <v>57</v>
      </c>
    </row>
    <row r="48" spans="1:2" ht="18" customHeight="1">
      <c r="A48" s="3" t="s">
        <v>43</v>
      </c>
    </row>
    <row r="49" spans="1:1" ht="37.5" customHeight="1">
      <c r="A49" s="11" t="s">
        <v>58</v>
      </c>
    </row>
    <row r="50" spans="1:1" ht="36.75" customHeight="1">
      <c r="A50" s="2" t="s">
        <v>59</v>
      </c>
    </row>
    <row r="51" spans="1:1" ht="159" customHeight="1">
      <c r="A51" s="2" t="s">
        <v>60</v>
      </c>
    </row>
    <row r="52" spans="1:1" ht="37.5" customHeight="1">
      <c r="A52" s="11" t="s">
        <v>61</v>
      </c>
    </row>
    <row r="53" spans="1:1" ht="35.25" customHeight="1">
      <c r="A53" s="3" t="s">
        <v>62</v>
      </c>
    </row>
    <row r="54" spans="1:1" ht="23.25" customHeight="1">
      <c r="A54" s="3" t="s">
        <v>63</v>
      </c>
    </row>
    <row r="55" spans="1:1" ht="39" customHeight="1">
      <c r="A55" s="3" t="s">
        <v>64</v>
      </c>
    </row>
    <row r="66" spans="1:1" ht="15.75">
      <c r="A66" s="44"/>
    </row>
  </sheetData>
  <sheetProtection algorithmName="SHA-512" hashValue="Up8zveTECtrTubRcHXKKqRmJacX99dlW8hFLAGte3fjfFGr+0jJgcXdeA4lqfsezK9AWWcGMc9ZdC8f6gNa6Eg==" saltValue="4n46Ih7QztU7U/Nc7M5Ppg==" spinCount="100000" sheet="1" objects="1" scenarios="1"/>
  <hyperlinks>
    <hyperlink ref="B10" location="Nutrients_from_wastewater!A1" display="Nutrients from wastewater" xr:uid="{E36A1043-AB91-4942-BD3A-CCA4FEFDBABA}"/>
    <hyperlink ref="B11" location="Nutrients_from_current_land_use!A1" display="Nutrients from current land use" xr:uid="{CFF94702-FC5B-4FE0-9876-AD7BF54E11C4}"/>
    <hyperlink ref="B12" location="Nutrients_from_future_land_use!A1" display="Nutrients from future land use" xr:uid="{071ABFEB-913E-4634-A3E2-439DCBD9E445}"/>
    <hyperlink ref="B14" location="Final_nutrient_budgets!A1" display="Final_nutrient_budgets" xr:uid="{60A04C2C-8C4C-42F0-9154-88681F7D2227}"/>
    <hyperlink ref="B13" location="SuDS!A1" display="SuDS" xr:uid="{253465E3-58BA-4871-ADD4-19A1C27D809E}"/>
    <hyperlink ref="B41" r:id="rId1" xr:uid="{0F48C9B9-026B-4FFB-ACBE-0F8CA6240AAD}"/>
    <hyperlink ref="B42" r:id="rId2" location="." xr:uid="{2871AC31-C0A3-4C0A-B4E6-5BD88AD10E7B}"/>
    <hyperlink ref="B44" r:id="rId3" xr:uid="{B825DA77-EE8A-4059-989B-D2381E895B1A}"/>
    <hyperlink ref="B43" r:id="rId4" xr:uid="{8E480430-51C5-4A14-AE96-60F3A62EC698}"/>
  </hyperlinks>
  <pageMargins left="0.7" right="0.7" top="0.75" bottom="0.75" header="0.3" footer="0.3"/>
  <pageSetup paperSize="9" orientation="portrait" r:id="rId5"/>
  <tableParts count="2">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E22"/>
  <sheetViews>
    <sheetView topLeftCell="A2" zoomScaleNormal="100" workbookViewId="0">
      <selection activeCell="B9" sqref="B9"/>
    </sheetView>
  </sheetViews>
  <sheetFormatPr defaultColWidth="8.85546875" defaultRowHeight="15"/>
  <cols>
    <col min="1" max="1" width="89.5703125" style="47" customWidth="1"/>
    <col min="2" max="2" width="54.7109375" style="47" customWidth="1"/>
    <col min="3" max="6" width="30.5703125" style="47" customWidth="1"/>
    <col min="7" max="360" width="8.5703125" style="47" customWidth="1"/>
    <col min="361" max="16384" width="8.85546875" style="47"/>
  </cols>
  <sheetData>
    <row r="1" spans="1:5" ht="50.25" customHeight="1">
      <c r="A1" s="46" t="s">
        <v>11</v>
      </c>
    </row>
    <row r="2" spans="1:5" ht="409.5" customHeight="1">
      <c r="A2" s="33" t="s">
        <v>65</v>
      </c>
    </row>
    <row r="3" spans="1:5" s="114" customFormat="1" ht="37.5" customHeight="1">
      <c r="A3" s="113" t="s">
        <v>66</v>
      </c>
      <c r="B3" s="22"/>
      <c r="C3" s="2"/>
    </row>
    <row r="4" spans="1:5" ht="31.5">
      <c r="A4" s="70" t="s">
        <v>67</v>
      </c>
      <c r="B4" s="66" t="s">
        <v>68</v>
      </c>
      <c r="C4" s="66" t="s">
        <v>69</v>
      </c>
    </row>
    <row r="5" spans="1:5" ht="15.75">
      <c r="A5" s="9" t="s">
        <v>70</v>
      </c>
      <c r="B5" s="48"/>
      <c r="C5" s="106"/>
    </row>
    <row r="6" spans="1:5" ht="15.75">
      <c r="A6" s="9" t="s">
        <v>71</v>
      </c>
      <c r="B6" s="19">
        <v>2.4</v>
      </c>
      <c r="C6" s="106"/>
    </row>
    <row r="7" spans="1:5" ht="15.75">
      <c r="A7" s="9" t="s">
        <v>72</v>
      </c>
      <c r="B7" s="49">
        <v>120</v>
      </c>
      <c r="C7" s="106"/>
    </row>
    <row r="8" spans="1:5" ht="123.95" customHeight="1">
      <c r="A8" s="9" t="s">
        <v>73</v>
      </c>
      <c r="B8" s="49"/>
      <c r="C8" s="106"/>
    </row>
    <row r="9" spans="1:5" ht="30.75" customHeight="1">
      <c r="A9" s="9" t="s">
        <v>74</v>
      </c>
      <c r="B9" s="49"/>
      <c r="C9" s="106"/>
    </row>
    <row r="10" spans="1:5" ht="15.75">
      <c r="A10" s="9" t="s">
        <v>75</v>
      </c>
      <c r="B10" s="50" t="str">
        <f>IFERROR(IF(OR(B9="Package Treatment Plant user defined",B9="Septic Tank user defined"),"Please enter value in cell to the right:",IF(AND(B5&lt;DATE(2025,1,1)),VLOOKUP(B9,Value_look_up_tables!$A$5:$J$11,2,FALSE),IF(AND(B5&lt;DATE(2025,1,1)),VLOOKUP(B9,Value_look_up_tables!$A$5:$J$11,2,FALSE),IF(AND(B5&lt;DATE(2030,4,1),B5&gt;=DATE(2025,1,1)),VLOOKUP(B9,Value_look_up_tables!$A$5:$J$11,3,FALSE),IF(AND(B5&lt;DATE(2030,4,1),B5&gt;=DATE(2025,1,1)),IF(AND(B5&lt;DATE(2030,4,1)),VLOOKUP(B9,Value_look_up_tables!$A$5:$J$11,2,FALSE),IF(AND(B5&lt;DATE(2030,4,1)),VLOOKUP(B9,Value_look_up_tables!$A$5:$J$11,3,FALSE),IF(AND(B5&gt;=DATE(2030,4,1)),VLOOKUP(B9,Value_look_up_tables!$A$5:$J$11,4,FALSE),IF(AND(B5&gt;=DATE(2030,4,1)),VLOOKUP(B9,Value_look_up_tables!$A$5:$J$11,4,FALSE),"")))),VLOOKUP(B9,Value_look_up_tables!$A$5:$J$11,4,FALSE)))))),"")</f>
        <v/>
      </c>
      <c r="C10" s="107"/>
      <c r="D10" s="51"/>
    </row>
    <row r="11" spans="1:5" ht="20.100000000000001" customHeight="1">
      <c r="A11" s="9" t="str">
        <f>IFERROR(IF(AND($B$5&lt;DATE(2025,1,1),(VLOOKUP($B$9,Value_look_up_tables!$A$5:$E$9,2,FALSE))&gt;(VLOOKUP($B$9,Value_look_up_tables!$A$5:$E$9,3,FALSE))), "Post 2025 WwTW P permit (mg TP/litre):",""),"")</f>
        <v/>
      </c>
      <c r="B11" s="50" t="str">
        <f>IFERROR(IF(AND($B$5&lt;DATE(2025,1,1),(VLOOKUP($B$9,Value_look_up_tables!$A$5:$J$9,2,FALSE))&gt;(VLOOKUP($B$9,Value_look_up_tables!$A$5:$J$9,3,FALSE))),VLOOKUP(B9,Value_look_up_tables!$A$5:$J$12,3,FALSE),""),"")</f>
        <v/>
      </c>
      <c r="C11" s="106"/>
    </row>
    <row r="12" spans="1:5" ht="20.100000000000001" customHeight="1">
      <c r="A12" s="6" t="str">
        <f>IFERROR(IF(AND($B$5&lt;DATE(2030,4,1),(VLOOKUP($B$9,Value_look_up_tables!$A$5:$J$9,3,FALSE))&gt;(VLOOKUP($B$9,Value_look_up_tables!$A$5:$J$9,4,FALSE))), "Post 2030 WwTW P permit (mg TP/litre):",""),"")</f>
        <v/>
      </c>
      <c r="B12" s="20" t="str">
        <f>IFERROR(IF(AND($B$5&lt;DATE(2030,4,1),(VLOOKUP($B$9,Value_look_up_tables!$A$5:$J$9,3,FALSE))&gt;(VLOOKUP($B$9,Value_look_up_tables!$A$5:$J$9,4,FALSE))), VLOOKUP(B9,Value_look_up_tables!$A$5:$J$12,4,FALSE),""),"")</f>
        <v/>
      </c>
      <c r="C12" s="108"/>
      <c r="E12" s="47" t="s">
        <v>76</v>
      </c>
    </row>
    <row r="13" spans="1:5" s="114" customFormat="1" ht="37.5" customHeight="1">
      <c r="A13" s="115" t="s">
        <v>77</v>
      </c>
      <c r="B13" s="52"/>
    </row>
    <row r="14" spans="1:5" ht="15.75">
      <c r="A14" s="63" t="s">
        <v>78</v>
      </c>
      <c r="B14" s="64" t="s">
        <v>79</v>
      </c>
      <c r="C14" s="88"/>
    </row>
    <row r="15" spans="1:5" ht="15.75">
      <c r="A15" s="89" t="str">
        <f>IFERROR(IF(AND($B$5&lt;DATE(2030,4,1),OR((VLOOKUP($B$9,Value_look_up_tables!$A$5:$J$9,3,FALSE))&gt;(VLOOKUP($B$9,Value_look_up_tables!$A$5:$J$9,4,FALSE)))),"Post-2030 Stage 1 Nutrient Loading",IF(AND($B$5&lt;DATE(2025,1,1),OR((VLOOKUP($B$9,Value_look_up_tables!$A$5:$E$9,2,FALSE))&gt;(VLOOKUP($B$9,Value_look_up_tables!$A$5:$E$9,3,FALSE)))),"Post-2025 Stage 1 Nutrient Loading","Stage 1 Nutrient Loading")),IF(B10="Please enter value in cell to the right:","Stage 1 Nutrient Loading",""))</f>
        <v/>
      </c>
      <c r="B15" s="90"/>
    </row>
    <row r="16" spans="1:5" ht="15.75">
      <c r="A16" s="7" t="s">
        <v>80</v>
      </c>
      <c r="B16" s="53" t="str">
        <f>IF(ISBLANK(B8),"",B6*B8)</f>
        <v/>
      </c>
    </row>
    <row r="17" spans="1:2" ht="15.75">
      <c r="A17" s="8" t="s">
        <v>81</v>
      </c>
      <c r="B17" s="20" t="str">
        <f>IFERROR(B16*B7,"")</f>
        <v/>
      </c>
    </row>
    <row r="18" spans="1:2" ht="15.75">
      <c r="A18" s="8" t="s">
        <v>82</v>
      </c>
      <c r="B18" s="20" t="str">
        <f>IFERROR(ROUND(IF(ISNUMBER(B12),B12*B17*0.9/1000000*365.25,IF(ISNUMBER(B11),B11*B17*0.9/1000000*365.25,IF(B10="Please enter value in cell to the right:",IF(AND(B10="Please enter value in cell to the right:",ISNUMBER(C10)),B17*(IF(C10&lt;0,0,C10))/1000000*365.25, VLOOKUP((LEFT(B9,(LEN(B9)-13))&amp;" default"),Value_look_up_tables!$A$8:$C$9,3,FALSE)*B17/1000000*365.25),IF(OR(B9="Package Treatment Plant default",B9="Septic Tank default"),B10*B17/1000000*365.25,IF(B10=8,B10*B17/1000000*365.25,B10*B17*0.9/1000000*365.25))))),2),"")</f>
        <v/>
      </c>
    </row>
    <row r="19" spans="1:2" ht="15.75">
      <c r="A19" s="91" t="str">
        <f>IFERROR(IF(AND($B$5&lt;DATE(2030,4,1),OR((VLOOKUP($B$9,Value_look_up_tables!$A$5:$J$9,3,FALSE))&gt;(VLOOKUP($B$9,Value_look_up_tables!$A$5:$J$9,4,FALSE)))),"Pre-2030 Stage 1 Nutrient Loading",IF(AND($B$5&lt;DATE(2025,1,1),OR((VLOOKUP($B$9,Value_look_up_tables!$A$5:$E$9,2,FALSE))&gt;(VLOOKUP($B$9,Value_look_up_tables!$A$5:$E$9,3,FALSE)))),IF(B18=B20,A15,"Pre-2025 Stage 1 Nutrient Loading"),"")),"")</f>
        <v/>
      </c>
      <c r="B19" s="92"/>
    </row>
    <row r="20" spans="1:2" ht="15.75">
      <c r="A20" s="7" t="str">
        <f>IFERROR(IF(AND($B$5&lt;DATE(2030,4,1),OR((VLOOKUP($B$9,Value_look_up_tables!$A$5:$J$9,3,FALSE))&gt;(VLOOKUP($B$9,Value_look_up_tables!$A$5:$J$9,4,FALSE)),(VLOOKUP($B$9,Value_look_up_tables!$A$5:$J$9,2,FALSE))&gt;(VLOOKUP($B$9,Value_look_up_tables!$A$5:$J$9,4,FALSE)))),"Annual wastewater TP load (kg TP/yr):",""),"")</f>
        <v/>
      </c>
      <c r="B20" s="55" t="str">
        <f>IFERROR(ROUND(IF(AND($B$5&lt;DATE(2030,4,1),OR((VLOOKUP($B$9,Value_look_up_tables!$A$5:$J$9,3,FALSE))&gt;(VLOOKUP($B$9,Value_look_up_tables!$A$5:$J$9,4,FALSE)),(VLOOKUP($B$9,Value_look_up_tables!$A$5:$J$9,2,FALSE))&gt;(VLOOKUP($B$9,Value_look_up_tables!$A$5:$J$9,4,FALSE)))),IF(ISNUMBER(B11),IF(B11=8,(B11*B$17)/1000000*365.25,(B11*B$17*0.9)/1000000*365.25),IF(B10=8,(B10*B$17)/1000000*365.25,(B10*B$17*0.9)/1000000*365.25)),""),2),"")</f>
        <v/>
      </c>
    </row>
    <row r="21" spans="1:2" ht="15.75">
      <c r="A21" s="91" t="str">
        <f>IFERROR(IF(AND($B$5&lt;DATE(2025,1,1),$B$5&lt;DATE(2030,4,1),OR((VLOOKUP($B$9,Value_look_up_tables!$A$5:$J$9,3,FALSE))&gt;(VLOOKUP($B$9,Value_look_up_tables!$A$5:$J$9,4,FALSE)))),IF(AND(B22=""),"","Pre-2025 Stage 1 Nutrient Loading"),IF(AND($B$5&lt;DATE(2025,1,1),OR((VLOOKUP($B$9,Value_look_up_tables!$A$5:$E$9,2,FALSE))&gt;(VLOOKUP($B$9,Value_look_up_tables!$A$5:$E$9,3,FALSE)))),IF(LEFT(A19,9)="Post-2025","Pre-2025 Stage 1 Nutrient Loading","Stage 1 Nutrient Loading"),"")),"")</f>
        <v/>
      </c>
      <c r="B21" s="92"/>
    </row>
    <row r="22" spans="1:2" ht="15.75">
      <c r="A22" s="7" t="str">
        <f>IFERROR(IF(AND($B$5&lt;DATE(2025,1,1),OR((VLOOKUP($B$9,Value_look_up_tables!$A$5:$E$9,2,FALSE))&gt;(VLOOKUP($B$9,Value_look_up_tables!$A$5:$E$9,3,FALSE)),(VLOOKUP($B$9,Value_look_up_tables!$A$5:$E$9,2,FALSE))&gt;(VLOOKUP($B$9,Value_look_up_tables!$A$5:$E$9,3,FALSE)))),"Annual wastewater TP load (kg TP/yr):",""),"")</f>
        <v/>
      </c>
      <c r="B22" s="54" t="str">
        <f>IFERROR(ROUND(IF(AND($B$5&lt;DATE(2025,1,1),$B$5&lt;DATE(2030,4,1),OR((VLOOKUP($B$9,Value_look_up_tables!$A$5:$J$9,3,FALSE))&gt;(VLOOKUP($B$9,Value_look_up_tables!$A$5:$J$9,4,FALSE)),(VLOOKUP($B$9,Value_look_up_tables!$A$5:$J$9,2,FALSE))&gt;(VLOOKUP($B$9,Value_look_up_tables!$A$5:$J$9,3,FALSE)))),IF(ISNUMBER(B11),IF(B10=8,(B10*B$17)/1000000*365.25,(B10*B$17*0.9)/1000000*365.25),IF(B11=8,(B11*B$17)/1000000*365.25,(B11*B$17*0.9)/1000000*365.25)),""),2),"")</f>
        <v/>
      </c>
    </row>
  </sheetData>
  <sheetProtection algorithmName="SHA-512" hashValue="kzGUZBNuE+BMT0/zXPWxhSFWj/F96G/IELHAdC1Q/9l9iMFv4uYvDOuzuVpM8t/ZuzvWJNhBqUGJe+ajmcaYoQ==" saltValue="vvCGyS78ZXJbrlVwb7lSbA=="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9" type="noConversion"/>
  <conditionalFormatting sqref="C10">
    <cfRule type="expression" dxfId="103" priority="1">
      <formula>$B$10="Please enter value in cell to the right:"</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Value_look_up_tables!$A$5:$A$11</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F30"/>
  <sheetViews>
    <sheetView zoomScaleNormal="100" workbookViewId="0"/>
  </sheetViews>
  <sheetFormatPr defaultColWidth="9.140625" defaultRowHeight="14.25"/>
  <cols>
    <col min="1" max="1" width="92.140625" style="17" customWidth="1"/>
    <col min="2" max="2" width="40.5703125" style="17" customWidth="1"/>
    <col min="3" max="3" width="25.7109375" style="17" customWidth="1"/>
    <col min="4" max="4" width="76.7109375" style="17" customWidth="1"/>
    <col min="5" max="386" width="8.5703125" style="17" customWidth="1"/>
    <col min="387" max="16384" width="9.140625" style="17"/>
  </cols>
  <sheetData>
    <row r="1" spans="1:6" ht="30">
      <c r="A1" s="14" t="s">
        <v>13</v>
      </c>
      <c r="B1" s="15"/>
      <c r="C1" s="15"/>
      <c r="D1" s="15"/>
    </row>
    <row r="2" spans="1:6" ht="409.5" customHeight="1">
      <c r="A2" s="33" t="s">
        <v>83</v>
      </c>
      <c r="B2" s="15"/>
      <c r="C2" s="15"/>
      <c r="D2" s="15"/>
      <c r="E2" s="22"/>
      <c r="F2" s="2"/>
    </row>
    <row r="3" spans="1:6" ht="69.95" customHeight="1">
      <c r="A3" s="23" t="s">
        <v>84</v>
      </c>
      <c r="B3" s="16"/>
      <c r="C3" s="16"/>
      <c r="E3" s="2"/>
      <c r="F3" s="2"/>
    </row>
    <row r="4" spans="1:6" ht="18">
      <c r="A4" s="68" t="s">
        <v>67</v>
      </c>
      <c r="B4" s="69" t="s">
        <v>85</v>
      </c>
      <c r="C4" s="16"/>
      <c r="E4" s="2"/>
      <c r="F4" s="2"/>
    </row>
    <row r="5" spans="1:6" ht="23.25" customHeight="1">
      <c r="A5" s="9" t="s">
        <v>86</v>
      </c>
      <c r="B5" s="27"/>
      <c r="C5" s="2"/>
      <c r="D5" s="2"/>
      <c r="E5" s="2"/>
      <c r="F5" s="24"/>
    </row>
    <row r="6" spans="1:6" ht="23.25" customHeight="1">
      <c r="A6" s="9" t="s">
        <v>87</v>
      </c>
      <c r="B6" s="28"/>
      <c r="C6" s="2"/>
      <c r="D6" s="2"/>
      <c r="E6" s="2"/>
      <c r="F6" s="2"/>
    </row>
    <row r="7" spans="1:6" ht="23.25" customHeight="1">
      <c r="A7" s="9" t="s">
        <v>88</v>
      </c>
      <c r="B7" s="29"/>
      <c r="C7" s="2"/>
      <c r="D7" s="2"/>
      <c r="E7" s="2"/>
      <c r="F7" s="2"/>
    </row>
    <row r="8" spans="1:6" ht="23.25" customHeight="1">
      <c r="A8" s="6" t="s">
        <v>89</v>
      </c>
      <c r="B8" s="30"/>
      <c r="C8" s="2"/>
      <c r="D8" s="2"/>
      <c r="E8" s="2"/>
      <c r="F8" s="2"/>
    </row>
    <row r="9" spans="1:6" ht="69.95" customHeight="1">
      <c r="A9" s="105" t="s">
        <v>90</v>
      </c>
      <c r="B9" s="104"/>
      <c r="C9" s="2"/>
      <c r="D9" s="2"/>
      <c r="E9" s="2"/>
      <c r="F9" s="2"/>
    </row>
    <row r="10" spans="1:6" ht="54.75" customHeight="1">
      <c r="A10" s="31" t="s">
        <v>91</v>
      </c>
      <c r="B10" s="32" t="s">
        <v>92</v>
      </c>
      <c r="C10" s="32" t="s">
        <v>93</v>
      </c>
      <c r="D10" s="32" t="s">
        <v>94</v>
      </c>
      <c r="E10" s="2"/>
      <c r="F10" s="24"/>
    </row>
    <row r="11" spans="1:6" ht="37.5" customHeight="1">
      <c r="A11" s="4"/>
      <c r="B11" s="19"/>
      <c r="C11" s="93" t="str">
        <f>IF(OR(ISBLANK($A11),ISBLANK($B11),ISBLANK($B$6),ISBLANK($B$7)),"",IFERROR($B11*VLOOKUP((IF(OR($A11="Residential urban land",$A11="Commercial/industrial urban land",$A11="Open urban land",$A11="Greenspace",$A11="Community food growing",$A11="Woodland",$A11="Shrub", $A11="Water"), "|||"&amp;$A11, (VLOOKUP(Nutrients_from_current_land_use!$B$5,Value_look_up_tables!$A$148:$B$148,2,FALSE)&amp;"|"&amp;$A11&amp;"|"&amp;VLOOKUP(Nutrients_from_current_land_use!$B$8,Value_look_up_tables!$A$161:$B$162,2,FALSE)&amp;"|"&amp;VLOOKUP(Nutrients_from_current_land_use!$B$7,Value_look_up_tables!$A$122:$C$144,3,FALSE)&amp;"|"&amp;VLOOKUP($B$6,Value_look_up_tables!$A$152:$B$157,2,FALSE)))),Value_look_up_tables!$F$15:$H$118,3,FALSE),
IFERROR(IFERROR($B11*VLOOKUP($A11&amp;"|"&amp;VLOOKUP(Nutrients_from_current_land_use!$B$8,Value_look_up_tables!$A$161:$B$162,2,FALSE)&amp;"|"&amp;VLOOKUP(Nutrients_from_current_land_use!$B$7,Value_look_up_tables!$A$122:$C$144,3,FALSE)&amp;"|"&amp;VLOOKUP($B$6,Value_look_up_tables!$A$152:$B$157,2,FALSE),Value_look_up_tables!$F$15:$H$118,3,FALSE),IFERROR($B11*VLOOKUP($A11&amp;"|"&amp;"TRUE"&amp;"|"&amp;VLOOKUP(Nutrients_from_current_land_use!$B$7,Value_look_up_tables!$A$122:$C$144,3,FALSE)&amp;"|"&amp;VLOOKUP($B$6,Value_look_up_tables!$A$152:$B$157,2,FALSE),Value_look_up_tables!$F$15:$H$118,3,FALSE),$B11*VLOOKUP($A11&amp;"|"&amp;VLOOKUP(Nutrients_from_current_land_use!$B$8,Value_look_up_tables!$A$161:$B$162,2,FALSE)&amp;"|"&amp;VLOOKUP(Nutrients_from_current_land_use!$B$7,Value_look_up_tables!$A$122:$C$144,3,FALSE)&amp;"|"&amp;"DrainedArGr",Value_look_up_tables!$F$15:$H$118,3,FALSE))),IFERROR($B11*VLOOKUP($A11&amp;"|"&amp;VLOOKUP(Nutrients_from_current_land_use!$B$7,Value_look_up_tables!$A$122:$C$144,3,FALSE),Value_look_up_tables!$I$15:$K$110,3,FALSE),$B11*VLOOKUP($A11,Value_look_up_tables!$B$15:$M$110,12,FALSE)))))</f>
        <v/>
      </c>
      <c r="D11" s="5" t="str">
        <f>IF(
OR(ISBLANK($A11),ISBLANK($B11),ISBLANK($B$6),ISBLANK($B$5),ISBLANK($B$7),$A11="Residential urban land",$A11="Commercial/industrial urban land",$A11="Open urban land",$A11="Greenspace",$A11="Community food growing",$A11="Woodland",$A11="Shrub",$A11="Water"),"",IF(ISNUMBER(IFERROR($B11*VLOOKUP((IF(
OR($A11="Residential urban land",$A11="Commercial/industrial urban land",$A11="Open urban land",$A11="Greenspace",$A11="Community food growing",$A11="Woodland",$A11="Shrub",$A11="Water"),"|||"&amp;$A11,(VLOOKUP(Nutrients_from_current_land_use!$B$5,Value_look_up_tables!$A$148:$B$148,2,FALSE)&amp;"|"&amp;$A11&amp;"|"&amp;VLOOKUP(Nutrients_from_current_land_use!$B$8,Value_look_up_tables!$A$161:$B$162,2,FALSE)&amp;"|"&amp;VLOOKUP(Nutrients_from_current_land_use!$B$7,Value_look_up_tables!$A$122:$C$144,3,FALSE)&amp;"|"&amp;VLOOKUP($B$6,Value_look_up_tables!$A$152:$B$157,2,FALSE)))),Value_look_up_tables!$F$15:$H$118,3,FALSE),
IFERROR($B11*VLOOKUP($A11&amp;"|"&amp;VLOOKUP(Nutrients_from_current_land_use!$B$8,Value_look_up_tables!$A$161:$B$162,2,FALSE)&amp;"|"&amp;VLOOKUP(Nutrients_from_current_land_use!$B$7,Value_look_up_tables!$A$122:$C$144,3,FALSE)&amp;"|"&amp;VLOOKUP($B$6,Value_look_up_tables!$A$152:$B$157,2,FALSE),Value_look_up_tables!$F$15:$H$118,3,FALSE),"In the absence of real world data, this figure has been generated using the most relevant average nutrient export coefficient."))),"","In the absence of real world data, this figure has been generated using the most relevant average nutrient export coefficient."))</f>
        <v/>
      </c>
      <c r="E11" s="2"/>
      <c r="F11" s="2"/>
    </row>
    <row r="12" spans="1:6" ht="37.5" customHeight="1">
      <c r="A12" s="4"/>
      <c r="B12" s="19"/>
      <c r="C12" s="93" t="str">
        <f>IF(OR(ISBLANK($A12),ISBLANK($B12),ISBLANK($B$6),ISBLANK($B$7)),"",IFERROR($B12*VLOOKUP((IF(OR($A12="Residential urban land",$A12="Commercial/industrial urban land",$A12="Open urban land",$A12="Greenspace",$A12="Community food growing",$A12="Woodland",$A12="Shrub", $A12="Water"), "|||"&amp;$A12, (VLOOKUP(Nutrients_from_current_land_use!$B$5,Value_look_up_tables!$A$148:$B$148,2,FALSE)&amp;"|"&amp;$A12&amp;"|"&amp;VLOOKUP(Nutrients_from_current_land_use!$B$8,Value_look_up_tables!$A$161:$B$162,2,FALSE)&amp;"|"&amp;VLOOKUP(Nutrients_from_current_land_use!$B$7,Value_look_up_tables!$A$122:$C$144,3,FALSE)&amp;"|"&amp;VLOOKUP($B$6,Value_look_up_tables!$A$152:$B$157,2,FALSE)))),Value_look_up_tables!$F$15:$H$118,3,FALSE),
IFERROR(IFERROR($B12*VLOOKUP($A12&amp;"|"&amp;VLOOKUP(Nutrients_from_current_land_use!$B$8,Value_look_up_tables!$A$161:$B$162,2,FALSE)&amp;"|"&amp;VLOOKUP(Nutrients_from_current_land_use!$B$7,Value_look_up_tables!$A$122:$C$144,3,FALSE)&amp;"|"&amp;VLOOKUP($B$6,Value_look_up_tables!$A$152:$B$157,2,FALSE),Value_look_up_tables!$F$15:$H$118,3,FALSE),IFERROR($B12*VLOOKUP($A12&amp;"|"&amp;"TRUE"&amp;"|"&amp;VLOOKUP(Nutrients_from_current_land_use!$B$7,Value_look_up_tables!$A$122:$C$144,3,FALSE)&amp;"|"&amp;VLOOKUP($B$6,Value_look_up_tables!$A$152:$B$157,2,FALSE),Value_look_up_tables!$F$15:$H$118,3,FALSE),$B12*VLOOKUP($A12&amp;"|"&amp;VLOOKUP(Nutrients_from_current_land_use!$B$8,Value_look_up_tables!$A$161:$B$162,2,FALSE)&amp;"|"&amp;VLOOKUP(Nutrients_from_current_land_use!$B$7,Value_look_up_tables!$A$122:$C$144,3,FALSE)&amp;"|"&amp;"DrainedArGr",Value_look_up_tables!$F$15:$H$118,3,FALSE))),IFERROR($B12*VLOOKUP($A12&amp;"|"&amp;VLOOKUP(Nutrients_from_current_land_use!$B$7,Value_look_up_tables!$A$122:$C$144,3,FALSE),Value_look_up_tables!$I$15:$K$110,3,FALSE),$B12*VLOOKUP($A12,Value_look_up_tables!$B$15:$M$110,12,FALSE)))))</f>
        <v/>
      </c>
      <c r="D12" s="5" t="str">
        <f>IF(
OR(ISBLANK($A12),ISBLANK($B12),ISBLANK($B$6),ISBLANK($B$5),ISBLANK($B$7),$A12="Residential urban land",$A12="Commercial/industrial urban land",$A12="Open urban land",$A12="Greenspace",$A12="Community food growing",$A12="Woodland",$A12="Shrub",$A12="Water"),"",IF(ISNUMBER(IFERROR($B12*VLOOKUP((IF(
OR($A12="Residential urban land",$A12="Commercial/industrial urban land",$A12="Open urban land",$A12="Greenspace",$A12="Community food growing",$A12="Woodland",$A12="Shrub",$A12="Water"),"|||"&amp;$A12,(VLOOKUP(Nutrients_from_current_land_use!$B$5,Value_look_up_tables!$A$148:$B$148,2,FALSE)&amp;"|"&amp;$A12&amp;"|"&amp;VLOOKUP(Nutrients_from_current_land_use!$B$8,Value_look_up_tables!$A$161:$B$162,2,FALSE)&amp;"|"&amp;VLOOKUP(Nutrients_from_current_land_use!$B$7,Value_look_up_tables!$A$122:$C$144,3,FALSE)&amp;"|"&amp;VLOOKUP($B$6,Value_look_up_tables!$A$152:$B$157,2,FALSE)))),Value_look_up_tables!$F$15:$H$118,3,FALSE),
IFERROR($B12*VLOOKUP($A12&amp;"|"&amp;VLOOKUP(Nutrients_from_current_land_use!$B$8,Value_look_up_tables!$A$161:$B$162,2,FALSE)&amp;"|"&amp;VLOOKUP(Nutrients_from_current_land_use!$B$7,Value_look_up_tables!$A$122:$C$144,3,FALSE)&amp;"|"&amp;VLOOKUP($B$6,Value_look_up_tables!$A$152:$B$157,2,FALSE),Value_look_up_tables!$F$15:$H$118,3,FALSE),"In the absence of real world data, this figure has been generated using the most relevant average nutrient export coefficient."))),"","In the absence of real world data, this figure has been generated using the most relevant average nutrient export coefficient."))</f>
        <v/>
      </c>
      <c r="E12" s="2"/>
      <c r="F12" s="2"/>
    </row>
    <row r="13" spans="1:6" ht="37.5" customHeight="1">
      <c r="A13" s="4"/>
      <c r="B13" s="19"/>
      <c r="C13" s="93" t="str">
        <f>IF(OR(ISBLANK($A13),ISBLANK($B13),ISBLANK($B$6),ISBLANK($B$7)),"",IFERROR($B13*VLOOKUP((IF(OR($A13="Residential urban land",$A13="Commercial/industrial urban land",$A13="Open urban land",$A13="Greenspace",$A13="Community food growing",$A13="Woodland",$A13="Shrub", $A13="Water"), "|||"&amp;$A13, (VLOOKUP(Nutrients_from_current_land_use!$B$5,Value_look_up_tables!$A$148:$B$148,2,FALSE)&amp;"|"&amp;$A13&amp;"|"&amp;VLOOKUP(Nutrients_from_current_land_use!$B$8,Value_look_up_tables!$A$161:$B$162,2,FALSE)&amp;"|"&amp;VLOOKUP(Nutrients_from_current_land_use!$B$7,Value_look_up_tables!$A$122:$C$144,3,FALSE)&amp;"|"&amp;VLOOKUP($B$6,Value_look_up_tables!$A$152:$B$157,2,FALSE)))),Value_look_up_tables!$F$15:$H$118,3,FALSE),
IFERROR(IFERROR($B13*VLOOKUP($A13&amp;"|"&amp;VLOOKUP(Nutrients_from_current_land_use!$B$8,Value_look_up_tables!$A$161:$B$162,2,FALSE)&amp;"|"&amp;VLOOKUP(Nutrients_from_current_land_use!$B$7,Value_look_up_tables!$A$122:$C$144,3,FALSE)&amp;"|"&amp;VLOOKUP($B$6,Value_look_up_tables!$A$152:$B$157,2,FALSE),Value_look_up_tables!$F$15:$H$118,3,FALSE),IFERROR($B13*VLOOKUP($A13&amp;"|"&amp;"TRUE"&amp;"|"&amp;VLOOKUP(Nutrients_from_current_land_use!$B$7,Value_look_up_tables!$A$122:$C$144,3,FALSE)&amp;"|"&amp;VLOOKUP($B$6,Value_look_up_tables!$A$152:$B$157,2,FALSE),Value_look_up_tables!$F$15:$H$118,3,FALSE),$B13*VLOOKUP($A13&amp;"|"&amp;VLOOKUP(Nutrients_from_current_land_use!$B$8,Value_look_up_tables!$A$161:$B$162,2,FALSE)&amp;"|"&amp;VLOOKUP(Nutrients_from_current_land_use!$B$7,Value_look_up_tables!$A$122:$C$144,3,FALSE)&amp;"|"&amp;"DrainedArGr",Value_look_up_tables!$F$15:$H$118,3,FALSE))),IFERROR($B13*VLOOKUP($A13&amp;"|"&amp;VLOOKUP(Nutrients_from_current_land_use!$B$7,Value_look_up_tables!$A$122:$C$144,3,FALSE),Value_look_up_tables!$I$15:$K$110,3,FALSE),$B13*VLOOKUP($A13,Value_look_up_tables!$B$15:$M$110,12,FALSE)))))</f>
        <v/>
      </c>
      <c r="D13" s="5" t="str">
        <f>IF(
OR(ISBLANK($A13),ISBLANK($B13),ISBLANK($B$6),ISBLANK($B$5),ISBLANK($B$7),$A13="Residential urban land",$A13="Commercial/industrial urban land",$A13="Open urban land",$A13="Greenspace",$A13="Community food growing",$A13="Woodland",$A13="Shrub",$A13="Water"),"",IF(ISNUMBER(IFERROR($B13*VLOOKUP((IF(
OR($A13="Residential urban land",$A13="Commercial/industrial urban land",$A13="Open urban land",$A13="Greenspace",$A13="Community food growing",$A13="Woodland",$A13="Shrub",$A13="Water"),"|||"&amp;$A13,(VLOOKUP(Nutrients_from_current_land_use!$B$5,Value_look_up_tables!$A$148:$B$148,2,FALSE)&amp;"|"&amp;$A13&amp;"|"&amp;VLOOKUP(Nutrients_from_current_land_use!$B$8,Value_look_up_tables!$A$161:$B$162,2,FALSE)&amp;"|"&amp;VLOOKUP(Nutrients_from_current_land_use!$B$7,Value_look_up_tables!$A$122:$C$144,3,FALSE)&amp;"|"&amp;VLOOKUP($B$6,Value_look_up_tables!$A$152:$B$157,2,FALSE)))),Value_look_up_tables!$F$15:$H$118,3,FALSE),
IFERROR($B13*VLOOKUP($A13&amp;"|"&amp;VLOOKUP(Nutrients_from_current_land_use!$B$8,Value_look_up_tables!$A$161:$B$162,2,FALSE)&amp;"|"&amp;VLOOKUP(Nutrients_from_current_land_use!$B$7,Value_look_up_tables!$A$122:$C$144,3,FALSE)&amp;"|"&amp;VLOOKUP($B$6,Value_look_up_tables!$A$152:$B$157,2,FALSE),Value_look_up_tables!$F$15:$H$118,3,FALSE),"In the absence of real world data, this figure has been generated using the most relevant average nutrient export coefficient."))),"","In the absence of real world data, this figure has been generated using the most relevant average nutrient export coefficient."))</f>
        <v/>
      </c>
      <c r="E13" s="2"/>
      <c r="F13" s="2"/>
    </row>
    <row r="14" spans="1:6" ht="37.5" customHeight="1">
      <c r="A14" s="4"/>
      <c r="B14" s="19"/>
      <c r="C14" s="93" t="str">
        <f>IF(OR(ISBLANK($A14),ISBLANK($B14),ISBLANK($B$6),ISBLANK($B$7)),"",IFERROR($B14*VLOOKUP((IF(OR($A14="Residential urban land",$A14="Commercial/industrial urban land",$A14="Open urban land",$A14="Greenspace",$A14="Community food growing",$A14="Woodland",$A14="Shrub", $A14="Water"), "|||"&amp;$A14, (VLOOKUP(Nutrients_from_current_land_use!$B$5,Value_look_up_tables!$A$148:$B$148,2,FALSE)&amp;"|"&amp;$A14&amp;"|"&amp;VLOOKUP(Nutrients_from_current_land_use!$B$8,Value_look_up_tables!$A$161:$B$162,2,FALSE)&amp;"|"&amp;VLOOKUP(Nutrients_from_current_land_use!$B$7,Value_look_up_tables!$A$122:$C$144,3,FALSE)&amp;"|"&amp;VLOOKUP($B$6,Value_look_up_tables!$A$152:$B$157,2,FALSE)))),Value_look_up_tables!$F$15:$H$118,3,FALSE),
IFERROR(IFERROR($B14*VLOOKUP($A14&amp;"|"&amp;VLOOKUP(Nutrients_from_current_land_use!$B$8,Value_look_up_tables!$A$161:$B$162,2,FALSE)&amp;"|"&amp;VLOOKUP(Nutrients_from_current_land_use!$B$7,Value_look_up_tables!$A$122:$C$144,3,FALSE)&amp;"|"&amp;VLOOKUP($B$6,Value_look_up_tables!$A$152:$B$157,2,FALSE),Value_look_up_tables!$F$15:$H$118,3,FALSE),IFERROR($B14*VLOOKUP($A14&amp;"|"&amp;"TRUE"&amp;"|"&amp;VLOOKUP(Nutrients_from_current_land_use!$B$7,Value_look_up_tables!$A$122:$C$144,3,FALSE)&amp;"|"&amp;VLOOKUP($B$6,Value_look_up_tables!$A$152:$B$157,2,FALSE),Value_look_up_tables!$F$15:$H$118,3,FALSE),$B14*VLOOKUP($A14&amp;"|"&amp;VLOOKUP(Nutrients_from_current_land_use!$B$8,Value_look_up_tables!$A$161:$B$162,2,FALSE)&amp;"|"&amp;VLOOKUP(Nutrients_from_current_land_use!$B$7,Value_look_up_tables!$A$122:$C$144,3,FALSE)&amp;"|"&amp;"DrainedArGr",Value_look_up_tables!$F$15:$H$118,3,FALSE))),IFERROR($B14*VLOOKUP($A14&amp;"|"&amp;VLOOKUP(Nutrients_from_current_land_use!$B$7,Value_look_up_tables!$A$122:$C$144,3,FALSE),Value_look_up_tables!$I$15:$K$110,3,FALSE),$B14*VLOOKUP($A14,Value_look_up_tables!$B$15:$M$110,12,FALSE)))))</f>
        <v/>
      </c>
      <c r="D14" s="5" t="str">
        <f>IF(
OR(ISBLANK($A14),ISBLANK($B14),ISBLANK($B$6),ISBLANK($B$5),ISBLANK($B$7),$A14="Residential urban land",$A14="Commercial/industrial urban land",$A14="Open urban land",$A14="Greenspace",$A14="Community food growing",$A14="Woodland",$A14="Shrub",$A14="Water"),"",IF(ISNUMBER(IFERROR($B14*VLOOKUP((IF(
OR($A14="Residential urban land",$A14="Commercial/industrial urban land",$A14="Open urban land",$A14="Greenspace",$A14="Community food growing",$A14="Woodland",$A14="Shrub",$A14="Water"),"|||"&amp;$A14,(VLOOKUP(Nutrients_from_current_land_use!$B$5,Value_look_up_tables!$A$148:$B$148,2,FALSE)&amp;"|"&amp;$A14&amp;"|"&amp;VLOOKUP(Nutrients_from_current_land_use!$B$8,Value_look_up_tables!$A$161:$B$162,2,FALSE)&amp;"|"&amp;VLOOKUP(Nutrients_from_current_land_use!$B$7,Value_look_up_tables!$A$122:$C$144,3,FALSE)&amp;"|"&amp;VLOOKUP($B$6,Value_look_up_tables!$A$152:$B$157,2,FALSE)))),Value_look_up_tables!$F$15:$H$118,3,FALSE),
IFERROR($B14*VLOOKUP($A14&amp;"|"&amp;VLOOKUP(Nutrients_from_current_land_use!$B$8,Value_look_up_tables!$A$161:$B$162,2,FALSE)&amp;"|"&amp;VLOOKUP(Nutrients_from_current_land_use!$B$7,Value_look_up_tables!$A$122:$C$144,3,FALSE)&amp;"|"&amp;VLOOKUP($B$6,Value_look_up_tables!$A$152:$B$157,2,FALSE),Value_look_up_tables!$F$15:$H$118,3,FALSE),"In the absence of real world data, this figure has been generated using the most relevant average nutrient export coefficient."))),"","In the absence of real world data, this figure has been generated using the most relevant average nutrient export coefficient."))</f>
        <v/>
      </c>
      <c r="E14" s="2"/>
      <c r="F14" s="2"/>
    </row>
    <row r="15" spans="1:6" ht="37.5" customHeight="1">
      <c r="A15" s="4"/>
      <c r="B15" s="19"/>
      <c r="C15" s="93" t="str">
        <f>IF(OR(ISBLANK($A15),ISBLANK($B15),ISBLANK($B$6),ISBLANK($B$7)),"",IFERROR($B15*VLOOKUP((IF(OR($A15="Residential urban land",$A15="Commercial/industrial urban land",$A15="Open urban land",$A15="Greenspace",$A15="Community food growing",$A15="Woodland",$A15="Shrub", $A15="Water"), "|||"&amp;$A15, (VLOOKUP(Nutrients_from_current_land_use!$B$5,Value_look_up_tables!$A$148:$B$148,2,FALSE)&amp;"|"&amp;$A15&amp;"|"&amp;VLOOKUP(Nutrients_from_current_land_use!$B$8,Value_look_up_tables!$A$161:$B$162,2,FALSE)&amp;"|"&amp;VLOOKUP(Nutrients_from_current_land_use!$B$7,Value_look_up_tables!$A$122:$C$144,3,FALSE)&amp;"|"&amp;VLOOKUP($B$6,Value_look_up_tables!$A$152:$B$157,2,FALSE)))),Value_look_up_tables!$F$15:$H$118,3,FALSE),
IFERROR(IFERROR($B15*VLOOKUP($A15&amp;"|"&amp;VLOOKUP(Nutrients_from_current_land_use!$B$8,Value_look_up_tables!$A$161:$B$162,2,FALSE)&amp;"|"&amp;VLOOKUP(Nutrients_from_current_land_use!$B$7,Value_look_up_tables!$A$122:$C$144,3,FALSE)&amp;"|"&amp;VLOOKUP($B$6,Value_look_up_tables!$A$152:$B$157,2,FALSE),Value_look_up_tables!$F$15:$H$118,3,FALSE),IFERROR($B15*VLOOKUP($A15&amp;"|"&amp;"TRUE"&amp;"|"&amp;VLOOKUP(Nutrients_from_current_land_use!$B$7,Value_look_up_tables!$A$122:$C$144,3,FALSE)&amp;"|"&amp;VLOOKUP($B$6,Value_look_up_tables!$A$152:$B$157,2,FALSE),Value_look_up_tables!$F$15:$H$118,3,FALSE),$B15*VLOOKUP($A15&amp;"|"&amp;VLOOKUP(Nutrients_from_current_land_use!$B$8,Value_look_up_tables!$A$161:$B$162,2,FALSE)&amp;"|"&amp;VLOOKUP(Nutrients_from_current_land_use!$B$7,Value_look_up_tables!$A$122:$C$144,3,FALSE)&amp;"|"&amp;"DrainedArGr",Value_look_up_tables!$F$15:$H$118,3,FALSE))),IFERROR($B15*VLOOKUP($A15&amp;"|"&amp;VLOOKUP(Nutrients_from_current_land_use!$B$7,Value_look_up_tables!$A$122:$C$144,3,FALSE),Value_look_up_tables!$I$15:$K$110,3,FALSE),$B15*VLOOKUP($A15,Value_look_up_tables!$B$15:$M$110,12,FALSE)))))</f>
        <v/>
      </c>
      <c r="D15" s="5" t="str">
        <f>IF(
OR(ISBLANK($A15),ISBLANK($B15),ISBLANK($B$6),ISBLANK($B$5),ISBLANK($B$7),$A15="Residential urban land",$A15="Commercial/industrial urban land",$A15="Open urban land",$A15="Greenspace",$A15="Community food growing",$A15="Woodland",$A15="Shrub",$A15="Water"),"",IF(ISNUMBER(IFERROR($B15*VLOOKUP((IF(
OR($A15="Residential urban land",$A15="Commercial/industrial urban land",$A15="Open urban land",$A15="Greenspace",$A15="Community food growing",$A15="Woodland",$A15="Shrub",$A15="Water"),"|||"&amp;$A15,(VLOOKUP(Nutrients_from_current_land_use!$B$5,Value_look_up_tables!$A$148:$B$148,2,FALSE)&amp;"|"&amp;$A15&amp;"|"&amp;VLOOKUP(Nutrients_from_current_land_use!$B$8,Value_look_up_tables!$A$161:$B$162,2,FALSE)&amp;"|"&amp;VLOOKUP(Nutrients_from_current_land_use!$B$7,Value_look_up_tables!$A$122:$C$144,3,FALSE)&amp;"|"&amp;VLOOKUP($B$6,Value_look_up_tables!$A$152:$B$157,2,FALSE)))),Value_look_up_tables!$F$15:$H$118,3,FALSE),
IFERROR($B15*VLOOKUP($A15&amp;"|"&amp;VLOOKUP(Nutrients_from_current_land_use!$B$8,Value_look_up_tables!$A$161:$B$162,2,FALSE)&amp;"|"&amp;VLOOKUP(Nutrients_from_current_land_use!$B$7,Value_look_up_tables!$A$122:$C$144,3,FALSE)&amp;"|"&amp;VLOOKUP($B$6,Value_look_up_tables!$A$152:$B$157,2,FALSE),Value_look_up_tables!$F$15:$H$118,3,FALSE),"In the absence of real world data, this figure has been generated using the most relevant average nutrient export coefficient."))),"","In the absence of real world data, this figure has been generated using the most relevant average nutrient export coefficient."))</f>
        <v/>
      </c>
      <c r="E15" s="2"/>
      <c r="F15" s="2"/>
    </row>
    <row r="16" spans="1:6" ht="37.5" customHeight="1">
      <c r="A16" s="4"/>
      <c r="B16" s="19"/>
      <c r="C16" s="93" t="str">
        <f>IF(OR(ISBLANK($A16),ISBLANK($B16),ISBLANK($B$6),ISBLANK($B$7)),"",IFERROR($B16*VLOOKUP((IF(OR($A16="Residential urban land",$A16="Commercial/industrial urban land",$A16="Open urban land",$A16="Greenspace",$A16="Community food growing",$A16="Woodland",$A16="Shrub", $A16="Water"), "|||"&amp;$A16, (VLOOKUP(Nutrients_from_current_land_use!$B$5,Value_look_up_tables!$A$148:$B$148,2,FALSE)&amp;"|"&amp;$A16&amp;"|"&amp;VLOOKUP(Nutrients_from_current_land_use!$B$8,Value_look_up_tables!$A$161:$B$162,2,FALSE)&amp;"|"&amp;VLOOKUP(Nutrients_from_current_land_use!$B$7,Value_look_up_tables!$A$122:$C$144,3,FALSE)&amp;"|"&amp;VLOOKUP($B$6,Value_look_up_tables!$A$152:$B$157,2,FALSE)))),Value_look_up_tables!$F$15:$H$118,3,FALSE),
IFERROR(IFERROR($B16*VLOOKUP($A16&amp;"|"&amp;VLOOKUP(Nutrients_from_current_land_use!$B$8,Value_look_up_tables!$A$161:$B$162,2,FALSE)&amp;"|"&amp;VLOOKUP(Nutrients_from_current_land_use!$B$7,Value_look_up_tables!$A$122:$C$144,3,FALSE)&amp;"|"&amp;VLOOKUP($B$6,Value_look_up_tables!$A$152:$B$157,2,FALSE),Value_look_up_tables!$F$15:$H$118,3,FALSE),IFERROR($B16*VLOOKUP($A16&amp;"|"&amp;"TRUE"&amp;"|"&amp;VLOOKUP(Nutrients_from_current_land_use!$B$7,Value_look_up_tables!$A$122:$C$144,3,FALSE)&amp;"|"&amp;VLOOKUP($B$6,Value_look_up_tables!$A$152:$B$157,2,FALSE),Value_look_up_tables!$F$15:$H$118,3,FALSE),$B16*VLOOKUP($A16&amp;"|"&amp;VLOOKUP(Nutrients_from_current_land_use!$B$8,Value_look_up_tables!$A$161:$B$162,2,FALSE)&amp;"|"&amp;VLOOKUP(Nutrients_from_current_land_use!$B$7,Value_look_up_tables!$A$122:$C$144,3,FALSE)&amp;"|"&amp;"DrainedArGr",Value_look_up_tables!$F$15:$H$118,3,FALSE))),IFERROR($B16*VLOOKUP($A16&amp;"|"&amp;VLOOKUP(Nutrients_from_current_land_use!$B$7,Value_look_up_tables!$A$122:$C$144,3,FALSE),Value_look_up_tables!$I$15:$K$110,3,FALSE),$B16*VLOOKUP($A16,Value_look_up_tables!$B$15:$M$110,12,FALSE)))))</f>
        <v/>
      </c>
      <c r="D16" s="5" t="str">
        <f>IF(
OR(ISBLANK($A16),ISBLANK($B16),ISBLANK($B$6),ISBLANK($B$5),ISBLANK($B$7),$A16="Residential urban land",$A16="Commercial/industrial urban land",$A16="Open urban land",$A16="Greenspace",$A16="Community food growing",$A16="Woodland",$A16="Shrub",$A16="Water"),"",IF(ISNUMBER(IFERROR($B16*VLOOKUP((IF(
OR($A16="Residential urban land",$A16="Commercial/industrial urban land",$A16="Open urban land",$A16="Greenspace",$A16="Community food growing",$A16="Woodland",$A16="Shrub",$A16="Water"),"|||"&amp;$A16,(VLOOKUP(Nutrients_from_current_land_use!$B$5,Value_look_up_tables!$A$148:$B$148,2,FALSE)&amp;"|"&amp;$A16&amp;"|"&amp;VLOOKUP(Nutrients_from_current_land_use!$B$8,Value_look_up_tables!$A$161:$B$162,2,FALSE)&amp;"|"&amp;VLOOKUP(Nutrients_from_current_land_use!$B$7,Value_look_up_tables!$A$122:$C$144,3,FALSE)&amp;"|"&amp;VLOOKUP($B$6,Value_look_up_tables!$A$152:$B$157,2,FALSE)))),Value_look_up_tables!$F$15:$H$118,3,FALSE),
IFERROR($B16*VLOOKUP($A16&amp;"|"&amp;VLOOKUP(Nutrients_from_current_land_use!$B$8,Value_look_up_tables!$A$161:$B$162,2,FALSE)&amp;"|"&amp;VLOOKUP(Nutrients_from_current_land_use!$B$7,Value_look_up_tables!$A$122:$C$144,3,FALSE)&amp;"|"&amp;VLOOKUP($B$6,Value_look_up_tables!$A$152:$B$157,2,FALSE),Value_look_up_tables!$F$15:$H$118,3,FALSE),"In the absence of real world data, this figure has been generated using the most relevant average nutrient export coefficient."))),"","In the absence of real world data, this figure has been generated using the most relevant average nutrient export coefficient."))</f>
        <v/>
      </c>
      <c r="E16" s="2"/>
      <c r="F16" s="2"/>
    </row>
    <row r="17" spans="1:6" ht="37.5" customHeight="1">
      <c r="A17" s="4"/>
      <c r="B17" s="19"/>
      <c r="C17" s="93" t="str">
        <f>IF(OR(ISBLANK($A17),ISBLANK($B17),ISBLANK($B$6),ISBLANK($B$7)),"",IFERROR($B17*VLOOKUP((IF(OR($A17="Residential urban land",$A17="Commercial/industrial urban land",$A17="Open urban land",$A17="Greenspace",$A17="Community food growing",$A17="Woodland",$A17="Shrub", $A17="Water"), "|||"&amp;$A17, (VLOOKUP(Nutrients_from_current_land_use!$B$5,Value_look_up_tables!$A$148:$B$148,2,FALSE)&amp;"|"&amp;$A17&amp;"|"&amp;VLOOKUP(Nutrients_from_current_land_use!$B$8,Value_look_up_tables!$A$161:$B$162,2,FALSE)&amp;"|"&amp;VLOOKUP(Nutrients_from_current_land_use!$B$7,Value_look_up_tables!$A$122:$C$144,3,FALSE)&amp;"|"&amp;VLOOKUP($B$6,Value_look_up_tables!$A$152:$B$157,2,FALSE)))),Value_look_up_tables!$F$15:$H$118,3,FALSE),
IFERROR(IFERROR($B17*VLOOKUP($A17&amp;"|"&amp;VLOOKUP(Nutrients_from_current_land_use!$B$8,Value_look_up_tables!$A$161:$B$162,2,FALSE)&amp;"|"&amp;VLOOKUP(Nutrients_from_current_land_use!$B$7,Value_look_up_tables!$A$122:$C$144,3,FALSE)&amp;"|"&amp;VLOOKUP($B$6,Value_look_up_tables!$A$152:$B$157,2,FALSE),Value_look_up_tables!$F$15:$H$118,3,FALSE),IFERROR($B17*VLOOKUP($A17&amp;"|"&amp;"TRUE"&amp;"|"&amp;VLOOKUP(Nutrients_from_current_land_use!$B$7,Value_look_up_tables!$A$122:$C$144,3,FALSE)&amp;"|"&amp;VLOOKUP($B$6,Value_look_up_tables!$A$152:$B$157,2,FALSE),Value_look_up_tables!$F$15:$H$118,3,FALSE),$B17*VLOOKUP($A17&amp;"|"&amp;VLOOKUP(Nutrients_from_current_land_use!$B$8,Value_look_up_tables!$A$161:$B$162,2,FALSE)&amp;"|"&amp;VLOOKUP(Nutrients_from_current_land_use!$B$7,Value_look_up_tables!$A$122:$C$144,3,FALSE)&amp;"|"&amp;"DrainedArGr",Value_look_up_tables!$F$15:$H$118,3,FALSE))),IFERROR($B17*VLOOKUP($A17&amp;"|"&amp;VLOOKUP(Nutrients_from_current_land_use!$B$7,Value_look_up_tables!$A$122:$C$144,3,FALSE),Value_look_up_tables!$I$15:$K$110,3,FALSE),$B17*VLOOKUP($A17,Value_look_up_tables!$B$15:$M$110,12,FALSE)))))</f>
        <v/>
      </c>
      <c r="D17" s="5" t="str">
        <f>IF(
OR(ISBLANK($A17),ISBLANK($B17),ISBLANK($B$6),ISBLANK($B$5),ISBLANK($B$7),$A17="Residential urban land",$A17="Commercial/industrial urban land",$A17="Open urban land",$A17="Greenspace",$A17="Community food growing",$A17="Woodland",$A17="Shrub",$A17="Water"),"",IF(ISNUMBER(IFERROR($B17*VLOOKUP((IF(
OR($A17="Residential urban land",$A17="Commercial/industrial urban land",$A17="Open urban land",$A17="Greenspace",$A17="Community food growing",$A17="Woodland",$A17="Shrub",$A17="Water"),"|||"&amp;$A17,(VLOOKUP(Nutrients_from_current_land_use!$B$5,Value_look_up_tables!$A$148:$B$148,2,FALSE)&amp;"|"&amp;$A17&amp;"|"&amp;VLOOKUP(Nutrients_from_current_land_use!$B$8,Value_look_up_tables!$A$161:$B$162,2,FALSE)&amp;"|"&amp;VLOOKUP(Nutrients_from_current_land_use!$B$7,Value_look_up_tables!$A$122:$C$144,3,FALSE)&amp;"|"&amp;VLOOKUP($B$6,Value_look_up_tables!$A$152:$B$157,2,FALSE)))),Value_look_up_tables!$F$15:$H$118,3,FALSE),
IFERROR($B17*VLOOKUP($A17&amp;"|"&amp;VLOOKUP(Nutrients_from_current_land_use!$B$8,Value_look_up_tables!$A$161:$B$162,2,FALSE)&amp;"|"&amp;VLOOKUP(Nutrients_from_current_land_use!$B$7,Value_look_up_tables!$A$122:$C$144,3,FALSE)&amp;"|"&amp;VLOOKUP($B$6,Value_look_up_tables!$A$152:$B$157,2,FALSE),Value_look_up_tables!$F$15:$H$118,3,FALSE),"In the absence of real world data, this figure has been generated using the most relevant average nutrient export coefficient."))),"","In the absence of real world data, this figure has been generated using the most relevant average nutrient export coefficient."))</f>
        <v/>
      </c>
      <c r="E17" s="2"/>
      <c r="F17" s="2"/>
    </row>
    <row r="18" spans="1:6" ht="37.5" customHeight="1">
      <c r="A18" s="4"/>
      <c r="B18" s="19"/>
      <c r="C18" s="93" t="str">
        <f>IF(OR(ISBLANK($A18),ISBLANK($B18),ISBLANK($B$6),ISBLANK($B$7)),"",IFERROR($B18*VLOOKUP((IF(OR($A18="Residential urban land",$A18="Commercial/industrial urban land",$A18="Open urban land",$A18="Greenspace",$A18="Community food growing",$A18="Woodland",$A18="Shrub", $A18="Water"), "|||"&amp;$A18, (VLOOKUP(Nutrients_from_current_land_use!$B$5,Value_look_up_tables!$A$148:$B$148,2,FALSE)&amp;"|"&amp;$A18&amp;"|"&amp;VLOOKUP(Nutrients_from_current_land_use!$B$8,Value_look_up_tables!$A$161:$B$162,2,FALSE)&amp;"|"&amp;VLOOKUP(Nutrients_from_current_land_use!$B$7,Value_look_up_tables!$A$122:$C$144,3,FALSE)&amp;"|"&amp;VLOOKUP($B$6,Value_look_up_tables!$A$152:$B$157,2,FALSE)))),Value_look_up_tables!$F$15:$H$118,3,FALSE),
IFERROR(IFERROR($B18*VLOOKUP($A18&amp;"|"&amp;VLOOKUP(Nutrients_from_current_land_use!$B$8,Value_look_up_tables!$A$161:$B$162,2,FALSE)&amp;"|"&amp;VLOOKUP(Nutrients_from_current_land_use!$B$7,Value_look_up_tables!$A$122:$C$144,3,FALSE)&amp;"|"&amp;VLOOKUP($B$6,Value_look_up_tables!$A$152:$B$157,2,FALSE),Value_look_up_tables!$F$15:$H$118,3,FALSE),IFERROR($B18*VLOOKUP($A18&amp;"|"&amp;"TRUE"&amp;"|"&amp;VLOOKUP(Nutrients_from_current_land_use!$B$7,Value_look_up_tables!$A$122:$C$144,3,FALSE)&amp;"|"&amp;VLOOKUP($B$6,Value_look_up_tables!$A$152:$B$157,2,FALSE),Value_look_up_tables!$F$15:$H$118,3,FALSE),$B18*VLOOKUP($A18&amp;"|"&amp;VLOOKUP(Nutrients_from_current_land_use!$B$8,Value_look_up_tables!$A$161:$B$162,2,FALSE)&amp;"|"&amp;VLOOKUP(Nutrients_from_current_land_use!$B$7,Value_look_up_tables!$A$122:$C$144,3,FALSE)&amp;"|"&amp;"DrainedArGr",Value_look_up_tables!$F$15:$H$118,3,FALSE))),IFERROR($B18*VLOOKUP($A18&amp;"|"&amp;VLOOKUP(Nutrients_from_current_land_use!$B$7,Value_look_up_tables!$A$122:$C$144,3,FALSE),Value_look_up_tables!$I$15:$K$110,3,FALSE),$B18*VLOOKUP($A18,Value_look_up_tables!$B$15:$M$110,12,FALSE)))))</f>
        <v/>
      </c>
      <c r="D18" s="5" t="str">
        <f>IF(
OR(ISBLANK($A18),ISBLANK($B18),ISBLANK($B$6),ISBLANK($B$5),ISBLANK($B$7),$A18="Residential urban land",$A18="Commercial/industrial urban land",$A18="Open urban land",$A18="Greenspace",$A18="Community food growing",$A18="Woodland",$A18="Shrub",$A18="Water"),"",IF(ISNUMBER(IFERROR($B18*VLOOKUP((IF(
OR($A18="Residential urban land",$A18="Commercial/industrial urban land",$A18="Open urban land",$A18="Greenspace",$A18="Community food growing",$A18="Woodland",$A18="Shrub",$A18="Water"),"|||"&amp;$A18,(VLOOKUP(Nutrients_from_current_land_use!$B$5,Value_look_up_tables!$A$148:$B$148,2,FALSE)&amp;"|"&amp;$A18&amp;"|"&amp;VLOOKUP(Nutrients_from_current_land_use!$B$8,Value_look_up_tables!$A$161:$B$162,2,FALSE)&amp;"|"&amp;VLOOKUP(Nutrients_from_current_land_use!$B$7,Value_look_up_tables!$A$122:$C$144,3,FALSE)&amp;"|"&amp;VLOOKUP($B$6,Value_look_up_tables!$A$152:$B$157,2,FALSE)))),Value_look_up_tables!$F$15:$H$118,3,FALSE),
IFERROR($B18*VLOOKUP($A18&amp;"|"&amp;VLOOKUP(Nutrients_from_current_land_use!$B$8,Value_look_up_tables!$A$161:$B$162,2,FALSE)&amp;"|"&amp;VLOOKUP(Nutrients_from_current_land_use!$B$7,Value_look_up_tables!$A$122:$C$144,3,FALSE)&amp;"|"&amp;VLOOKUP($B$6,Value_look_up_tables!$A$152:$B$157,2,FALSE),Value_look_up_tables!$F$15:$H$118,3,FALSE),"In the absence of real world data, this figure has been generated using the most relevant average nutrient export coefficient."))),"","In the absence of real world data, this figure has been generated using the most relevant average nutrient export coefficient."))</f>
        <v/>
      </c>
      <c r="E18" s="2"/>
      <c r="F18" s="2"/>
    </row>
    <row r="19" spans="1:6" ht="37.5" customHeight="1">
      <c r="A19" s="4"/>
      <c r="B19" s="19"/>
      <c r="C19" s="93" t="str">
        <f>IF(OR(ISBLANK($A19),ISBLANK($B19),ISBLANK($B$6),ISBLANK($B$7)),"",IFERROR($B19*VLOOKUP((IF(OR($A19="Residential urban land",$A19="Commercial/industrial urban land",$A19="Open urban land",$A19="Greenspace",$A19="Community food growing",$A19="Woodland",$A19="Shrub", $A19="Water"), "|||"&amp;$A19, (VLOOKUP(Nutrients_from_current_land_use!$B$5,Value_look_up_tables!$A$148:$B$148,2,FALSE)&amp;"|"&amp;$A19&amp;"|"&amp;VLOOKUP(Nutrients_from_current_land_use!$B$8,Value_look_up_tables!$A$161:$B$162,2,FALSE)&amp;"|"&amp;VLOOKUP(Nutrients_from_current_land_use!$B$7,Value_look_up_tables!$A$122:$C$144,3,FALSE)&amp;"|"&amp;VLOOKUP($B$6,Value_look_up_tables!$A$152:$B$157,2,FALSE)))),Value_look_up_tables!$F$15:$H$118,3,FALSE),
IFERROR(IFERROR($B19*VLOOKUP($A19&amp;"|"&amp;VLOOKUP(Nutrients_from_current_land_use!$B$8,Value_look_up_tables!$A$161:$B$162,2,FALSE)&amp;"|"&amp;VLOOKUP(Nutrients_from_current_land_use!$B$7,Value_look_up_tables!$A$122:$C$144,3,FALSE)&amp;"|"&amp;VLOOKUP($B$6,Value_look_up_tables!$A$152:$B$157,2,FALSE),Value_look_up_tables!$F$15:$H$118,3,FALSE),IFERROR($B19*VLOOKUP($A19&amp;"|"&amp;"TRUE"&amp;"|"&amp;VLOOKUP(Nutrients_from_current_land_use!$B$7,Value_look_up_tables!$A$122:$C$144,3,FALSE)&amp;"|"&amp;VLOOKUP($B$6,Value_look_up_tables!$A$152:$B$157,2,FALSE),Value_look_up_tables!$F$15:$H$118,3,FALSE),$B19*VLOOKUP($A19&amp;"|"&amp;VLOOKUP(Nutrients_from_current_land_use!$B$8,Value_look_up_tables!$A$161:$B$162,2,FALSE)&amp;"|"&amp;VLOOKUP(Nutrients_from_current_land_use!$B$7,Value_look_up_tables!$A$122:$C$144,3,FALSE)&amp;"|"&amp;"DrainedArGr",Value_look_up_tables!$F$15:$H$118,3,FALSE))),IFERROR($B19*VLOOKUP($A19&amp;"|"&amp;VLOOKUP(Nutrients_from_current_land_use!$B$7,Value_look_up_tables!$A$122:$C$144,3,FALSE),Value_look_up_tables!$I$15:$K$110,3,FALSE),$B19*VLOOKUP($A19,Value_look_up_tables!$B$15:$M$110,12,FALSE)))))</f>
        <v/>
      </c>
      <c r="D19" s="5" t="str">
        <f>IF(
OR(ISBLANK($A19),ISBLANK($B19),ISBLANK($B$6),ISBLANK($B$5),ISBLANK($B$7),$A19="Residential urban land",$A19="Commercial/industrial urban land",$A19="Open urban land",$A19="Greenspace",$A19="Community food growing",$A19="Woodland",$A19="Shrub",$A19="Water"),"",IF(ISNUMBER(IFERROR($B19*VLOOKUP((IF(
OR($A19="Residential urban land",$A19="Commercial/industrial urban land",$A19="Open urban land",$A19="Greenspace",$A19="Community food growing",$A19="Woodland",$A19="Shrub",$A19="Water"),"|||"&amp;$A19,(VLOOKUP(Nutrients_from_current_land_use!$B$5,Value_look_up_tables!$A$148:$B$148,2,FALSE)&amp;"|"&amp;$A19&amp;"|"&amp;VLOOKUP(Nutrients_from_current_land_use!$B$8,Value_look_up_tables!$A$161:$B$162,2,FALSE)&amp;"|"&amp;VLOOKUP(Nutrients_from_current_land_use!$B$7,Value_look_up_tables!$A$122:$C$144,3,FALSE)&amp;"|"&amp;VLOOKUP($B$6,Value_look_up_tables!$A$152:$B$157,2,FALSE)))),Value_look_up_tables!$F$15:$H$118,3,FALSE),
IFERROR($B19*VLOOKUP($A19&amp;"|"&amp;VLOOKUP(Nutrients_from_current_land_use!$B$8,Value_look_up_tables!$A$161:$B$162,2,FALSE)&amp;"|"&amp;VLOOKUP(Nutrients_from_current_land_use!$B$7,Value_look_up_tables!$A$122:$C$144,3,FALSE)&amp;"|"&amp;VLOOKUP($B$6,Value_look_up_tables!$A$152:$B$157,2,FALSE),Value_look_up_tables!$F$15:$H$118,3,FALSE),"In the absence of real world data, this figure has been generated using the most relevant average nutrient export coefficient."))),"","In the absence of real world data, this figure has been generated using the most relevant average nutrient export coefficient."))</f>
        <v/>
      </c>
      <c r="E19" s="2"/>
      <c r="F19" s="2"/>
    </row>
    <row r="20" spans="1:6" ht="37.5" customHeight="1">
      <c r="A20" s="4"/>
      <c r="B20" s="19"/>
      <c r="C20" s="93" t="str">
        <f>IF(OR(ISBLANK($A20),ISBLANK($B20),ISBLANK($B$6),ISBLANK($B$7)),"",IFERROR($B20*VLOOKUP((IF(OR($A20="Residential urban land",$A20="Commercial/industrial urban land",$A20="Open urban land",$A20="Greenspace",$A20="Community food growing",$A20="Woodland",$A20="Shrub", $A20="Water"), "|||"&amp;$A20, (VLOOKUP(Nutrients_from_current_land_use!$B$5,Value_look_up_tables!$A$148:$B$148,2,FALSE)&amp;"|"&amp;$A20&amp;"|"&amp;VLOOKUP(Nutrients_from_current_land_use!$B$8,Value_look_up_tables!$A$161:$B$162,2,FALSE)&amp;"|"&amp;VLOOKUP(Nutrients_from_current_land_use!$B$7,Value_look_up_tables!$A$122:$C$144,3,FALSE)&amp;"|"&amp;VLOOKUP($B$6,Value_look_up_tables!$A$152:$B$157,2,FALSE)))),Value_look_up_tables!$F$15:$H$118,3,FALSE),
IFERROR(IFERROR($B20*VLOOKUP($A20&amp;"|"&amp;VLOOKUP(Nutrients_from_current_land_use!$B$8,Value_look_up_tables!$A$161:$B$162,2,FALSE)&amp;"|"&amp;VLOOKUP(Nutrients_from_current_land_use!$B$7,Value_look_up_tables!$A$122:$C$144,3,FALSE)&amp;"|"&amp;VLOOKUP($B$6,Value_look_up_tables!$A$152:$B$157,2,FALSE),Value_look_up_tables!$F$15:$H$118,3,FALSE),IFERROR($B20*VLOOKUP($A20&amp;"|"&amp;"TRUE"&amp;"|"&amp;VLOOKUP(Nutrients_from_current_land_use!$B$7,Value_look_up_tables!$A$122:$C$144,3,FALSE)&amp;"|"&amp;VLOOKUP($B$6,Value_look_up_tables!$A$152:$B$157,2,FALSE),Value_look_up_tables!$F$15:$H$118,3,FALSE),$B20*VLOOKUP($A20&amp;"|"&amp;VLOOKUP(Nutrients_from_current_land_use!$B$8,Value_look_up_tables!$A$161:$B$162,2,FALSE)&amp;"|"&amp;VLOOKUP(Nutrients_from_current_land_use!$B$7,Value_look_up_tables!$A$122:$C$144,3,FALSE)&amp;"|"&amp;"DrainedArGr",Value_look_up_tables!$F$15:$H$118,3,FALSE))),IFERROR($B20*VLOOKUP($A20&amp;"|"&amp;VLOOKUP(Nutrients_from_current_land_use!$B$7,Value_look_up_tables!$A$122:$C$144,3,FALSE),Value_look_up_tables!$I$15:$K$110,3,FALSE),$B20*VLOOKUP($A20,Value_look_up_tables!$B$15:$M$110,12,FALSE)))))</f>
        <v/>
      </c>
      <c r="D20" s="5" t="str">
        <f>IF(
OR(ISBLANK($A20),ISBLANK($B20),ISBLANK($B$6),ISBLANK($B$5),ISBLANK($B$7),$A20="Residential urban land",$A20="Commercial/industrial urban land",$A20="Open urban land",$A20="Greenspace",$A20="Community food growing",$A20="Woodland",$A20="Shrub",$A20="Water"),"",IF(ISNUMBER(IFERROR($B20*VLOOKUP((IF(
OR($A20="Residential urban land",$A20="Commercial/industrial urban land",$A20="Open urban land",$A20="Greenspace",$A20="Community food growing",$A20="Woodland",$A20="Shrub",$A20="Water"),"|||"&amp;$A20,(VLOOKUP(Nutrients_from_current_land_use!$B$5,Value_look_up_tables!$A$148:$B$148,2,FALSE)&amp;"|"&amp;$A20&amp;"|"&amp;VLOOKUP(Nutrients_from_current_land_use!$B$8,Value_look_up_tables!$A$161:$B$162,2,FALSE)&amp;"|"&amp;VLOOKUP(Nutrients_from_current_land_use!$B$7,Value_look_up_tables!$A$122:$C$144,3,FALSE)&amp;"|"&amp;VLOOKUP($B$6,Value_look_up_tables!$A$152:$B$157,2,FALSE)))),Value_look_up_tables!$F$15:$H$118,3,FALSE),
IFERROR($B20*VLOOKUP($A20&amp;"|"&amp;VLOOKUP(Nutrients_from_current_land_use!$B$8,Value_look_up_tables!$A$161:$B$162,2,FALSE)&amp;"|"&amp;VLOOKUP(Nutrients_from_current_land_use!$B$7,Value_look_up_tables!$A$122:$C$144,3,FALSE)&amp;"|"&amp;VLOOKUP($B$6,Value_look_up_tables!$A$152:$B$157,2,FALSE),Value_look_up_tables!$F$15:$H$118,3,FALSE),"In the absence of real world data, this figure has been generated using the most relevant average nutrient export coefficient."))),"","In the absence of real world data, this figure has been generated using the most relevant average nutrient export coefficient."))</f>
        <v/>
      </c>
      <c r="E20" s="2"/>
      <c r="F20" s="2"/>
    </row>
    <row r="21" spans="1:6" ht="37.5" customHeight="1">
      <c r="A21" s="4"/>
      <c r="B21" s="19"/>
      <c r="C21" s="93" t="str">
        <f>IF(OR(ISBLANK($A21),ISBLANK($B21),ISBLANK($B$6),ISBLANK($B$7)),"",IFERROR($B21*VLOOKUP((IF(OR($A21="Residential urban land",$A21="Commercial/industrial urban land",$A21="Open urban land",$A21="Greenspace",$A21="Community food growing",$A21="Woodland",$A21="Shrub", $A21="Water"), "|||"&amp;$A21, (VLOOKUP(Nutrients_from_current_land_use!$B$5,Value_look_up_tables!$A$148:$B$148,2,FALSE)&amp;"|"&amp;$A21&amp;"|"&amp;VLOOKUP(Nutrients_from_current_land_use!$B$8,Value_look_up_tables!$A$161:$B$162,2,FALSE)&amp;"|"&amp;VLOOKUP(Nutrients_from_current_land_use!$B$7,Value_look_up_tables!$A$122:$C$144,3,FALSE)&amp;"|"&amp;VLOOKUP($B$6,Value_look_up_tables!$A$152:$B$157,2,FALSE)))),Value_look_up_tables!$F$15:$H$118,3,FALSE),
IFERROR(IFERROR($B21*VLOOKUP($A21&amp;"|"&amp;VLOOKUP(Nutrients_from_current_land_use!$B$8,Value_look_up_tables!$A$161:$B$162,2,FALSE)&amp;"|"&amp;VLOOKUP(Nutrients_from_current_land_use!$B$7,Value_look_up_tables!$A$122:$C$144,3,FALSE)&amp;"|"&amp;VLOOKUP($B$6,Value_look_up_tables!$A$152:$B$157,2,FALSE),Value_look_up_tables!$F$15:$H$118,3,FALSE),IFERROR($B21*VLOOKUP($A21&amp;"|"&amp;"TRUE"&amp;"|"&amp;VLOOKUP(Nutrients_from_current_land_use!$B$7,Value_look_up_tables!$A$122:$C$144,3,FALSE)&amp;"|"&amp;VLOOKUP($B$6,Value_look_up_tables!$A$152:$B$157,2,FALSE),Value_look_up_tables!$F$15:$H$118,3,FALSE),$B21*VLOOKUP($A21&amp;"|"&amp;VLOOKUP(Nutrients_from_current_land_use!$B$8,Value_look_up_tables!$A$161:$B$162,2,FALSE)&amp;"|"&amp;VLOOKUP(Nutrients_from_current_land_use!$B$7,Value_look_up_tables!$A$122:$C$144,3,FALSE)&amp;"|"&amp;"DrainedArGr",Value_look_up_tables!$F$15:$H$118,3,FALSE))),IFERROR($B21*VLOOKUP($A21&amp;"|"&amp;VLOOKUP(Nutrients_from_current_land_use!$B$7,Value_look_up_tables!$A$122:$C$144,3,FALSE),Value_look_up_tables!$I$15:$K$110,3,FALSE),$B21*VLOOKUP($A21,Value_look_up_tables!$B$15:$M$110,12,FALSE)))))</f>
        <v/>
      </c>
      <c r="D21" s="5" t="str">
        <f>IF(
OR(ISBLANK($A21),ISBLANK($B21),ISBLANK($B$6),ISBLANK($B$5),ISBLANK($B$7),$A21="Residential urban land",$A21="Commercial/industrial urban land",$A21="Open urban land",$A21="Greenspace",$A21="Community food growing",$A21="Woodland",$A21="Shrub",$A21="Water"),"",IF(ISNUMBER(IFERROR($B21*VLOOKUP((IF(
OR($A21="Residential urban land",$A21="Commercial/industrial urban land",$A21="Open urban land",$A21="Greenspace",$A21="Community food growing",$A21="Woodland",$A21="Shrub",$A21="Water"),"|||"&amp;$A21,(VLOOKUP(Nutrients_from_current_land_use!$B$5,Value_look_up_tables!$A$148:$B$148,2,FALSE)&amp;"|"&amp;$A21&amp;"|"&amp;VLOOKUP(Nutrients_from_current_land_use!$B$8,Value_look_up_tables!$A$161:$B$162,2,FALSE)&amp;"|"&amp;VLOOKUP(Nutrients_from_current_land_use!$B$7,Value_look_up_tables!$A$122:$C$144,3,FALSE)&amp;"|"&amp;VLOOKUP($B$6,Value_look_up_tables!$A$152:$B$157,2,FALSE)))),Value_look_up_tables!$F$15:$H$118,3,FALSE),
IFERROR($B21*VLOOKUP($A21&amp;"|"&amp;VLOOKUP(Nutrients_from_current_land_use!$B$8,Value_look_up_tables!$A$161:$B$162,2,FALSE)&amp;"|"&amp;VLOOKUP(Nutrients_from_current_land_use!$B$7,Value_look_up_tables!$A$122:$C$144,3,FALSE)&amp;"|"&amp;VLOOKUP($B$6,Value_look_up_tables!$A$152:$B$157,2,FALSE),Value_look_up_tables!$F$15:$H$118,3,FALSE),"In the absence of real world data, this figure has been generated using the most relevant average nutrient export coefficient."))),"","In the absence of real world data, this figure has been generated using the most relevant average nutrient export coefficient."))</f>
        <v/>
      </c>
      <c r="E21" s="2"/>
      <c r="F21" s="2"/>
    </row>
    <row r="22" spans="1:6" ht="37.5" customHeight="1">
      <c r="A22" s="4"/>
      <c r="B22" s="19"/>
      <c r="C22" s="93" t="str">
        <f>IF(OR(ISBLANK($A22),ISBLANK($B22),ISBLANK($B$6),ISBLANK($B$7)),"",IFERROR($B22*VLOOKUP((IF(OR($A22="Residential urban land",$A22="Commercial/industrial urban land",$A22="Open urban land",$A22="Greenspace",$A22="Community food growing",$A22="Woodland",$A22="Shrub", $A22="Water"), "|||"&amp;$A22, (VLOOKUP(Nutrients_from_current_land_use!$B$5,Value_look_up_tables!$A$148:$B$148,2,FALSE)&amp;"|"&amp;$A22&amp;"|"&amp;VLOOKUP(Nutrients_from_current_land_use!$B$8,Value_look_up_tables!$A$161:$B$162,2,FALSE)&amp;"|"&amp;VLOOKUP(Nutrients_from_current_land_use!$B$7,Value_look_up_tables!$A$122:$C$144,3,FALSE)&amp;"|"&amp;VLOOKUP($B$6,Value_look_up_tables!$A$152:$B$157,2,FALSE)))),Value_look_up_tables!$F$15:$H$118,3,FALSE),
IFERROR(IFERROR($B22*VLOOKUP($A22&amp;"|"&amp;VLOOKUP(Nutrients_from_current_land_use!$B$8,Value_look_up_tables!$A$161:$B$162,2,FALSE)&amp;"|"&amp;VLOOKUP(Nutrients_from_current_land_use!$B$7,Value_look_up_tables!$A$122:$C$144,3,FALSE)&amp;"|"&amp;VLOOKUP($B$6,Value_look_up_tables!$A$152:$B$157,2,FALSE),Value_look_up_tables!$F$15:$H$118,3,FALSE),IFERROR($B22*VLOOKUP($A22&amp;"|"&amp;"TRUE"&amp;"|"&amp;VLOOKUP(Nutrients_from_current_land_use!$B$7,Value_look_up_tables!$A$122:$C$144,3,FALSE)&amp;"|"&amp;VLOOKUP($B$6,Value_look_up_tables!$A$152:$B$157,2,FALSE),Value_look_up_tables!$F$15:$H$118,3,FALSE),$B22*VLOOKUP($A22&amp;"|"&amp;VLOOKUP(Nutrients_from_current_land_use!$B$8,Value_look_up_tables!$A$161:$B$162,2,FALSE)&amp;"|"&amp;VLOOKUP(Nutrients_from_current_land_use!$B$7,Value_look_up_tables!$A$122:$C$144,3,FALSE)&amp;"|"&amp;"DrainedArGr",Value_look_up_tables!$F$15:$H$118,3,FALSE))),IFERROR($B22*VLOOKUP($A22&amp;"|"&amp;VLOOKUP(Nutrients_from_current_land_use!$B$7,Value_look_up_tables!$A$122:$C$144,3,FALSE),Value_look_up_tables!$I$15:$K$110,3,FALSE),$B22*VLOOKUP($A22,Value_look_up_tables!$B$15:$M$110,12,FALSE)))))</f>
        <v/>
      </c>
      <c r="D22" s="5" t="str">
        <f>IF(
OR(ISBLANK($A22),ISBLANK($B22),ISBLANK($B$6),ISBLANK($B$5),ISBLANK($B$7),$A22="Residential urban land",$A22="Commercial/industrial urban land",$A22="Open urban land",$A22="Greenspace",$A22="Community food growing",$A22="Woodland",$A22="Shrub",$A22="Water"),"",IF(ISNUMBER(IFERROR($B22*VLOOKUP((IF(
OR($A22="Residential urban land",$A22="Commercial/industrial urban land",$A22="Open urban land",$A22="Greenspace",$A22="Community food growing",$A22="Woodland",$A22="Shrub",$A22="Water"),"|||"&amp;$A22,(VLOOKUP(Nutrients_from_current_land_use!$B$5,Value_look_up_tables!$A$148:$B$148,2,FALSE)&amp;"|"&amp;$A22&amp;"|"&amp;VLOOKUP(Nutrients_from_current_land_use!$B$8,Value_look_up_tables!$A$161:$B$162,2,FALSE)&amp;"|"&amp;VLOOKUP(Nutrients_from_current_land_use!$B$7,Value_look_up_tables!$A$122:$C$144,3,FALSE)&amp;"|"&amp;VLOOKUP($B$6,Value_look_up_tables!$A$152:$B$157,2,FALSE)))),Value_look_up_tables!$F$15:$H$118,3,FALSE),
IFERROR($B22*VLOOKUP($A22&amp;"|"&amp;VLOOKUP(Nutrients_from_current_land_use!$B$8,Value_look_up_tables!$A$161:$B$162,2,FALSE)&amp;"|"&amp;VLOOKUP(Nutrients_from_current_land_use!$B$7,Value_look_up_tables!$A$122:$C$144,3,FALSE)&amp;"|"&amp;VLOOKUP($B$6,Value_look_up_tables!$A$152:$B$157,2,FALSE),Value_look_up_tables!$F$15:$H$118,3,FALSE),"In the absence of real world data, this figure has been generated using the most relevant average nutrient export coefficient."))),"","In the absence of real world data, this figure has been generated using the most relevant average nutrient export coefficient."))</f>
        <v/>
      </c>
      <c r="E22" s="2"/>
      <c r="F22" s="24"/>
    </row>
    <row r="23" spans="1:6" ht="37.5" customHeight="1">
      <c r="A23" s="4"/>
      <c r="B23" s="19"/>
      <c r="C23" s="93" t="str">
        <f>IF(OR(ISBLANK($A23),ISBLANK($B23),ISBLANK($B$6),ISBLANK($B$7)),"",IFERROR($B23*VLOOKUP((IF(OR($A23="Residential urban land",$A23="Commercial/industrial urban land",$A23="Open urban land",$A23="Greenspace",$A23="Community food growing",$A23="Woodland",$A23="Shrub", $A23="Water"), "|||"&amp;$A23, (VLOOKUP(Nutrients_from_current_land_use!$B$5,Value_look_up_tables!$A$148:$B$148,2,FALSE)&amp;"|"&amp;$A23&amp;"|"&amp;VLOOKUP(Nutrients_from_current_land_use!$B$8,Value_look_up_tables!$A$161:$B$162,2,FALSE)&amp;"|"&amp;VLOOKUP(Nutrients_from_current_land_use!$B$7,Value_look_up_tables!$A$122:$C$144,3,FALSE)&amp;"|"&amp;VLOOKUP($B$6,Value_look_up_tables!$A$152:$B$157,2,FALSE)))),Value_look_up_tables!$F$15:$H$118,3,FALSE),
IFERROR(IFERROR($B23*VLOOKUP($A23&amp;"|"&amp;VLOOKUP(Nutrients_from_current_land_use!$B$8,Value_look_up_tables!$A$161:$B$162,2,FALSE)&amp;"|"&amp;VLOOKUP(Nutrients_from_current_land_use!$B$7,Value_look_up_tables!$A$122:$C$144,3,FALSE)&amp;"|"&amp;VLOOKUP($B$6,Value_look_up_tables!$A$152:$B$157,2,FALSE),Value_look_up_tables!$F$15:$H$118,3,FALSE),IFERROR($B23*VLOOKUP($A23&amp;"|"&amp;"TRUE"&amp;"|"&amp;VLOOKUP(Nutrients_from_current_land_use!$B$7,Value_look_up_tables!$A$122:$C$144,3,FALSE)&amp;"|"&amp;VLOOKUP($B$6,Value_look_up_tables!$A$152:$B$157,2,FALSE),Value_look_up_tables!$F$15:$H$118,3,FALSE),$B23*VLOOKUP($A23&amp;"|"&amp;VLOOKUP(Nutrients_from_current_land_use!$B$8,Value_look_up_tables!$A$161:$B$162,2,FALSE)&amp;"|"&amp;VLOOKUP(Nutrients_from_current_land_use!$B$7,Value_look_up_tables!$A$122:$C$144,3,FALSE)&amp;"|"&amp;"DrainedArGr",Value_look_up_tables!$F$15:$H$118,3,FALSE))),IFERROR($B23*VLOOKUP($A23&amp;"|"&amp;VLOOKUP(Nutrients_from_current_land_use!$B$7,Value_look_up_tables!$A$122:$C$144,3,FALSE),Value_look_up_tables!$I$15:$K$110,3,FALSE),$B23*VLOOKUP($A23,Value_look_up_tables!$B$15:$M$110,12,FALSE)))))</f>
        <v/>
      </c>
      <c r="D23" s="5" t="str">
        <f>IF(
OR(ISBLANK($A23),ISBLANK($B23),ISBLANK($B$6),ISBLANK($B$5),ISBLANK($B$7),$A23="Residential urban land",$A23="Commercial/industrial urban land",$A23="Open urban land",$A23="Greenspace",$A23="Community food growing",$A23="Woodland",$A23="Shrub",$A23="Water"),"",IF(ISNUMBER(IFERROR($B23*VLOOKUP((IF(
OR($A23="Residential urban land",$A23="Commercial/industrial urban land",$A23="Open urban land",$A23="Greenspace",$A23="Community food growing",$A23="Woodland",$A23="Shrub",$A23="Water"),"|||"&amp;$A23,(VLOOKUP(Nutrients_from_current_land_use!$B$5,Value_look_up_tables!$A$148:$B$148,2,FALSE)&amp;"|"&amp;$A23&amp;"|"&amp;VLOOKUP(Nutrients_from_current_land_use!$B$8,Value_look_up_tables!$A$161:$B$162,2,FALSE)&amp;"|"&amp;VLOOKUP(Nutrients_from_current_land_use!$B$7,Value_look_up_tables!$A$122:$C$144,3,FALSE)&amp;"|"&amp;VLOOKUP($B$6,Value_look_up_tables!$A$152:$B$157,2,FALSE)))),Value_look_up_tables!$F$15:$H$118,3,FALSE),
IFERROR($B23*VLOOKUP($A23&amp;"|"&amp;VLOOKUP(Nutrients_from_current_land_use!$B$8,Value_look_up_tables!$A$161:$B$162,2,FALSE)&amp;"|"&amp;VLOOKUP(Nutrients_from_current_land_use!$B$7,Value_look_up_tables!$A$122:$C$144,3,FALSE)&amp;"|"&amp;VLOOKUP($B$6,Value_look_up_tables!$A$152:$B$157,2,FALSE),Value_look_up_tables!$F$15:$H$118,3,FALSE),"In the absence of real world data, this figure has been generated using the most relevant average nutrient export coefficient."))),"","In the absence of real world data, this figure has been generated using the most relevant average nutrient export coefficient."))</f>
        <v/>
      </c>
      <c r="E23" s="2"/>
      <c r="F23" s="2"/>
    </row>
    <row r="24" spans="1:6" ht="37.5" customHeight="1">
      <c r="A24" s="4"/>
      <c r="B24" s="19"/>
      <c r="C24" s="93" t="str">
        <f>IF(OR(ISBLANK($A24),ISBLANK($B24),ISBLANK($B$6),ISBLANK($B$7)),"",IFERROR($B24*VLOOKUP((IF(OR($A24="Residential urban land",$A24="Commercial/industrial urban land",$A24="Open urban land",$A24="Greenspace",$A24="Community food growing",$A24="Woodland",$A24="Shrub", $A24="Water"), "|||"&amp;$A24, (VLOOKUP(Nutrients_from_current_land_use!$B$5,Value_look_up_tables!$A$148:$B$148,2,FALSE)&amp;"|"&amp;$A24&amp;"|"&amp;VLOOKUP(Nutrients_from_current_land_use!$B$8,Value_look_up_tables!$A$161:$B$162,2,FALSE)&amp;"|"&amp;VLOOKUP(Nutrients_from_current_land_use!$B$7,Value_look_up_tables!$A$122:$C$144,3,FALSE)&amp;"|"&amp;VLOOKUP($B$6,Value_look_up_tables!$A$152:$B$157,2,FALSE)))),Value_look_up_tables!$F$15:$H$118,3,FALSE),
IFERROR(IFERROR($B24*VLOOKUP($A24&amp;"|"&amp;VLOOKUP(Nutrients_from_current_land_use!$B$8,Value_look_up_tables!$A$161:$B$162,2,FALSE)&amp;"|"&amp;VLOOKUP(Nutrients_from_current_land_use!$B$7,Value_look_up_tables!$A$122:$C$144,3,FALSE)&amp;"|"&amp;VLOOKUP($B$6,Value_look_up_tables!$A$152:$B$157,2,FALSE),Value_look_up_tables!$F$15:$H$118,3,FALSE),IFERROR($B24*VLOOKUP($A24&amp;"|"&amp;"TRUE"&amp;"|"&amp;VLOOKUP(Nutrients_from_current_land_use!$B$7,Value_look_up_tables!$A$122:$C$144,3,FALSE)&amp;"|"&amp;VLOOKUP($B$6,Value_look_up_tables!$A$152:$B$157,2,FALSE),Value_look_up_tables!$F$15:$H$118,3,FALSE),$B24*VLOOKUP($A24&amp;"|"&amp;VLOOKUP(Nutrients_from_current_land_use!$B$8,Value_look_up_tables!$A$161:$B$162,2,FALSE)&amp;"|"&amp;VLOOKUP(Nutrients_from_current_land_use!$B$7,Value_look_up_tables!$A$122:$C$144,3,FALSE)&amp;"|"&amp;"DrainedArGr",Value_look_up_tables!$F$15:$H$118,3,FALSE))),IFERROR($B24*VLOOKUP($A24&amp;"|"&amp;VLOOKUP(Nutrients_from_current_land_use!$B$7,Value_look_up_tables!$A$122:$C$144,3,FALSE),Value_look_up_tables!$I$15:$K$110,3,FALSE),$B24*VLOOKUP($A24,Value_look_up_tables!$B$15:$M$110,12,FALSE)))))</f>
        <v/>
      </c>
      <c r="D24" s="5" t="str">
        <f>IF(
OR(ISBLANK($A24),ISBLANK($B24),ISBLANK($B$6),ISBLANK($B$5),ISBLANK($B$7),$A24="Residential urban land",$A24="Commercial/industrial urban land",$A24="Open urban land",$A24="Greenspace",$A24="Community food growing",$A24="Woodland",$A24="Shrub",$A24="Water"),"",IF(ISNUMBER(IFERROR($B24*VLOOKUP((IF(
OR($A24="Residential urban land",$A24="Commercial/industrial urban land",$A24="Open urban land",$A24="Greenspace",$A24="Community food growing",$A24="Woodland",$A24="Shrub",$A24="Water"),"|||"&amp;$A24,(VLOOKUP(Nutrients_from_current_land_use!$B$5,Value_look_up_tables!$A$148:$B$148,2,FALSE)&amp;"|"&amp;$A24&amp;"|"&amp;VLOOKUP(Nutrients_from_current_land_use!$B$8,Value_look_up_tables!$A$161:$B$162,2,FALSE)&amp;"|"&amp;VLOOKUP(Nutrients_from_current_land_use!$B$7,Value_look_up_tables!$A$122:$C$144,3,FALSE)&amp;"|"&amp;VLOOKUP($B$6,Value_look_up_tables!$A$152:$B$157,2,FALSE)))),Value_look_up_tables!$F$15:$H$118,3,FALSE),
IFERROR($B24*VLOOKUP($A24&amp;"|"&amp;VLOOKUP(Nutrients_from_current_land_use!$B$8,Value_look_up_tables!$A$161:$B$162,2,FALSE)&amp;"|"&amp;VLOOKUP(Nutrients_from_current_land_use!$B$7,Value_look_up_tables!$A$122:$C$144,3,FALSE)&amp;"|"&amp;VLOOKUP($B$6,Value_look_up_tables!$A$152:$B$157,2,FALSE),Value_look_up_tables!$F$15:$H$118,3,FALSE),"In the absence of real world data, this figure has been generated using the most relevant average nutrient export coefficient."))),"","In the absence of real world data, this figure has been generated using the most relevant average nutrient export coefficient."))</f>
        <v/>
      </c>
      <c r="E24" s="2"/>
      <c r="F24" s="2"/>
    </row>
    <row r="25" spans="1:6" ht="37.5" customHeight="1">
      <c r="A25" s="4"/>
      <c r="B25" s="19"/>
      <c r="C25" s="93" t="str">
        <f>IF(OR(ISBLANK($A25),ISBLANK($B25),ISBLANK($B$6),ISBLANK($B$7)),"",IFERROR($B25*VLOOKUP((IF(OR($A25="Residential urban land",$A25="Commercial/industrial urban land",$A25="Open urban land",$A25="Greenspace",$A25="Community food growing",$A25="Woodland",$A25="Shrub", $A25="Water"), "|||"&amp;$A25, (VLOOKUP(Nutrients_from_current_land_use!$B$5,Value_look_up_tables!$A$148:$B$148,2,FALSE)&amp;"|"&amp;$A25&amp;"|"&amp;VLOOKUP(Nutrients_from_current_land_use!$B$8,Value_look_up_tables!$A$161:$B$162,2,FALSE)&amp;"|"&amp;VLOOKUP(Nutrients_from_current_land_use!$B$7,Value_look_up_tables!$A$122:$C$144,3,FALSE)&amp;"|"&amp;VLOOKUP($B$6,Value_look_up_tables!$A$152:$B$157,2,FALSE)))),Value_look_up_tables!$F$15:$H$118,3,FALSE),
IFERROR(IFERROR($B25*VLOOKUP($A25&amp;"|"&amp;VLOOKUP(Nutrients_from_current_land_use!$B$8,Value_look_up_tables!$A$161:$B$162,2,FALSE)&amp;"|"&amp;VLOOKUP(Nutrients_from_current_land_use!$B$7,Value_look_up_tables!$A$122:$C$144,3,FALSE)&amp;"|"&amp;VLOOKUP($B$6,Value_look_up_tables!$A$152:$B$157,2,FALSE),Value_look_up_tables!$F$15:$H$118,3,FALSE),IFERROR($B25*VLOOKUP($A25&amp;"|"&amp;"TRUE"&amp;"|"&amp;VLOOKUP(Nutrients_from_current_land_use!$B$7,Value_look_up_tables!$A$122:$C$144,3,FALSE)&amp;"|"&amp;VLOOKUP($B$6,Value_look_up_tables!$A$152:$B$157,2,FALSE),Value_look_up_tables!$F$15:$H$118,3,FALSE),$B25*VLOOKUP($A25&amp;"|"&amp;VLOOKUP(Nutrients_from_current_land_use!$B$8,Value_look_up_tables!$A$161:$B$162,2,FALSE)&amp;"|"&amp;VLOOKUP(Nutrients_from_current_land_use!$B$7,Value_look_up_tables!$A$122:$C$144,3,FALSE)&amp;"|"&amp;"DrainedArGr",Value_look_up_tables!$F$15:$H$118,3,FALSE))),IFERROR($B25*VLOOKUP($A25&amp;"|"&amp;VLOOKUP(Nutrients_from_current_land_use!$B$7,Value_look_up_tables!$A$122:$C$144,3,FALSE),Value_look_up_tables!$I$15:$K$110,3,FALSE),$B25*VLOOKUP($A25,Value_look_up_tables!$B$15:$M$110,12,FALSE)))))</f>
        <v/>
      </c>
      <c r="D25" s="5" t="str">
        <f>IF(
OR(ISBLANK($A25),ISBLANK($B25),ISBLANK($B$6),ISBLANK($B$5),ISBLANK($B$7),$A25="Residential urban land",$A25="Commercial/industrial urban land",$A25="Open urban land",$A25="Greenspace",$A25="Community food growing",$A25="Woodland",$A25="Shrub",$A25="Water"),"",IF(ISNUMBER(IFERROR($B25*VLOOKUP((IF(
OR($A25="Residential urban land",$A25="Commercial/industrial urban land",$A25="Open urban land",$A25="Greenspace",$A25="Community food growing",$A25="Woodland",$A25="Shrub",$A25="Water"),"|||"&amp;$A25,(VLOOKUP(Nutrients_from_current_land_use!$B$5,Value_look_up_tables!$A$148:$B$148,2,FALSE)&amp;"|"&amp;$A25&amp;"|"&amp;VLOOKUP(Nutrients_from_current_land_use!$B$8,Value_look_up_tables!$A$161:$B$162,2,FALSE)&amp;"|"&amp;VLOOKUP(Nutrients_from_current_land_use!$B$7,Value_look_up_tables!$A$122:$C$144,3,FALSE)&amp;"|"&amp;VLOOKUP($B$6,Value_look_up_tables!$A$152:$B$157,2,FALSE)))),Value_look_up_tables!$F$15:$H$118,3,FALSE),
IFERROR($B25*VLOOKUP($A25&amp;"|"&amp;VLOOKUP(Nutrients_from_current_land_use!$B$8,Value_look_up_tables!$A$161:$B$162,2,FALSE)&amp;"|"&amp;VLOOKUP(Nutrients_from_current_land_use!$B$7,Value_look_up_tables!$A$122:$C$144,3,FALSE)&amp;"|"&amp;VLOOKUP($B$6,Value_look_up_tables!$A$152:$B$157,2,FALSE),Value_look_up_tables!$F$15:$H$118,3,FALSE),"In the absence of real world data, this figure has been generated using the most relevant average nutrient export coefficient."))),"","In the absence of real world data, this figure has been generated using the most relevant average nutrient export coefficient."))</f>
        <v/>
      </c>
      <c r="E25" s="2"/>
      <c r="F25" s="2"/>
    </row>
    <row r="26" spans="1:6" ht="37.5" customHeight="1">
      <c r="A26" s="4"/>
      <c r="B26" s="19"/>
      <c r="C26" s="93" t="str">
        <f>IF(OR(ISBLANK($A26),ISBLANK($B26),ISBLANK($B$6),ISBLANK($B$7)),"",IFERROR($B26*VLOOKUP((IF(OR($A26="Residential urban land",$A26="Commercial/industrial urban land",$A26="Open urban land",$A26="Greenspace",$A26="Community food growing",$A26="Woodland",$A26="Shrub", $A26="Water"), "|||"&amp;$A26, (VLOOKUP(Nutrients_from_current_land_use!$B$5,Value_look_up_tables!$A$148:$B$148,2,FALSE)&amp;"|"&amp;$A26&amp;"|"&amp;VLOOKUP(Nutrients_from_current_land_use!$B$8,Value_look_up_tables!$A$161:$B$162,2,FALSE)&amp;"|"&amp;VLOOKUP(Nutrients_from_current_land_use!$B$7,Value_look_up_tables!$A$122:$C$144,3,FALSE)&amp;"|"&amp;VLOOKUP($B$6,Value_look_up_tables!$A$152:$B$157,2,FALSE)))),Value_look_up_tables!$F$15:$H$118,3,FALSE),
IFERROR(IFERROR($B26*VLOOKUP($A26&amp;"|"&amp;VLOOKUP(Nutrients_from_current_land_use!$B$8,Value_look_up_tables!$A$161:$B$162,2,FALSE)&amp;"|"&amp;VLOOKUP(Nutrients_from_current_land_use!$B$7,Value_look_up_tables!$A$122:$C$144,3,FALSE)&amp;"|"&amp;VLOOKUP($B$6,Value_look_up_tables!$A$152:$B$157,2,FALSE),Value_look_up_tables!$F$15:$H$118,3,FALSE),IFERROR($B26*VLOOKUP($A26&amp;"|"&amp;"TRUE"&amp;"|"&amp;VLOOKUP(Nutrients_from_current_land_use!$B$7,Value_look_up_tables!$A$122:$C$144,3,FALSE)&amp;"|"&amp;VLOOKUP($B$6,Value_look_up_tables!$A$152:$B$157,2,FALSE),Value_look_up_tables!$F$15:$H$118,3,FALSE),$B26*VLOOKUP($A26&amp;"|"&amp;VLOOKUP(Nutrients_from_current_land_use!$B$8,Value_look_up_tables!$A$161:$B$162,2,FALSE)&amp;"|"&amp;VLOOKUP(Nutrients_from_current_land_use!$B$7,Value_look_up_tables!$A$122:$C$144,3,FALSE)&amp;"|"&amp;"DrainedArGr",Value_look_up_tables!$F$15:$H$118,3,FALSE))),IFERROR($B26*VLOOKUP($A26&amp;"|"&amp;VLOOKUP(Nutrients_from_current_land_use!$B$7,Value_look_up_tables!$A$122:$C$144,3,FALSE),Value_look_up_tables!$I$15:$K$110,3,FALSE),$B26*VLOOKUP($A26,Value_look_up_tables!$B$15:$M$110,12,FALSE)))))</f>
        <v/>
      </c>
      <c r="D26" s="5" t="str">
        <f>IF(
OR(ISBLANK($A26),ISBLANK($B26),ISBLANK($B$6),ISBLANK($B$5),ISBLANK($B$7),$A26="Residential urban land",$A26="Commercial/industrial urban land",$A26="Open urban land",$A26="Greenspace",$A26="Community food growing",$A26="Woodland",$A26="Shrub",$A26="Water"),"",IF(ISNUMBER(IFERROR($B26*VLOOKUP((IF(
OR($A26="Residential urban land",$A26="Commercial/industrial urban land",$A26="Open urban land",$A26="Greenspace",$A26="Community food growing",$A26="Woodland",$A26="Shrub",$A26="Water"),"|||"&amp;$A26,(VLOOKUP(Nutrients_from_current_land_use!$B$5,Value_look_up_tables!$A$148:$B$148,2,FALSE)&amp;"|"&amp;$A26&amp;"|"&amp;VLOOKUP(Nutrients_from_current_land_use!$B$8,Value_look_up_tables!$A$161:$B$162,2,FALSE)&amp;"|"&amp;VLOOKUP(Nutrients_from_current_land_use!$B$7,Value_look_up_tables!$A$122:$C$144,3,FALSE)&amp;"|"&amp;VLOOKUP($B$6,Value_look_up_tables!$A$152:$B$157,2,FALSE)))),Value_look_up_tables!$F$15:$H$118,3,FALSE),
IFERROR($B26*VLOOKUP($A26&amp;"|"&amp;VLOOKUP(Nutrients_from_current_land_use!$B$8,Value_look_up_tables!$A$161:$B$162,2,FALSE)&amp;"|"&amp;VLOOKUP(Nutrients_from_current_land_use!$B$7,Value_look_up_tables!$A$122:$C$144,3,FALSE)&amp;"|"&amp;VLOOKUP($B$6,Value_look_up_tables!$A$152:$B$157,2,FALSE),Value_look_up_tables!$F$15:$H$118,3,FALSE),"In the absence of real world data, this figure has been generated using the most relevant average nutrient export coefficient."))),"","In the absence of real world data, this figure has been generated using the most relevant average nutrient export coefficient."))</f>
        <v/>
      </c>
    </row>
    <row r="27" spans="1:6" ht="37.5" customHeight="1">
      <c r="A27" s="4"/>
      <c r="B27" s="19"/>
      <c r="C27" s="93" t="str">
        <f>IF(OR(ISBLANK($A27),ISBLANK($B27),ISBLANK($B$6),ISBLANK($B$7)),"",IFERROR($B27*VLOOKUP((IF(OR($A27="Residential urban land",$A27="Commercial/industrial urban land",$A27="Open urban land",$A27="Greenspace",$A27="Community food growing",$A27="Woodland",$A27="Shrub", $A27="Water"), "|||"&amp;$A27, (VLOOKUP(Nutrients_from_current_land_use!$B$5,Value_look_up_tables!$A$148:$B$148,2,FALSE)&amp;"|"&amp;$A27&amp;"|"&amp;VLOOKUP(Nutrients_from_current_land_use!$B$8,Value_look_up_tables!$A$161:$B$162,2,FALSE)&amp;"|"&amp;VLOOKUP(Nutrients_from_current_land_use!$B$7,Value_look_up_tables!$A$122:$C$144,3,FALSE)&amp;"|"&amp;VLOOKUP($B$6,Value_look_up_tables!$A$152:$B$157,2,FALSE)))),Value_look_up_tables!$F$15:$H$118,3,FALSE),
IFERROR(IFERROR($B27*VLOOKUP($A27&amp;"|"&amp;VLOOKUP(Nutrients_from_current_land_use!$B$8,Value_look_up_tables!$A$161:$B$162,2,FALSE)&amp;"|"&amp;VLOOKUP(Nutrients_from_current_land_use!$B$7,Value_look_up_tables!$A$122:$C$144,3,FALSE)&amp;"|"&amp;VLOOKUP($B$6,Value_look_up_tables!$A$152:$B$157,2,FALSE),Value_look_up_tables!$F$15:$H$118,3,FALSE),IFERROR($B27*VLOOKUP($A27&amp;"|"&amp;"TRUE"&amp;"|"&amp;VLOOKUP(Nutrients_from_current_land_use!$B$7,Value_look_up_tables!$A$122:$C$144,3,FALSE)&amp;"|"&amp;VLOOKUP($B$6,Value_look_up_tables!$A$152:$B$157,2,FALSE),Value_look_up_tables!$F$15:$H$118,3,FALSE),$B27*VLOOKUP($A27&amp;"|"&amp;VLOOKUP(Nutrients_from_current_land_use!$B$8,Value_look_up_tables!$A$161:$B$162,2,FALSE)&amp;"|"&amp;VLOOKUP(Nutrients_from_current_land_use!$B$7,Value_look_up_tables!$A$122:$C$144,3,FALSE)&amp;"|"&amp;"DrainedArGr",Value_look_up_tables!$F$15:$H$118,3,FALSE))),IFERROR($B27*VLOOKUP($A27&amp;"|"&amp;VLOOKUP(Nutrients_from_current_land_use!$B$7,Value_look_up_tables!$A$122:$C$144,3,FALSE),Value_look_up_tables!$I$15:$K$110,3,FALSE),$B27*VLOOKUP($A27,Value_look_up_tables!$B$15:$M$110,12,FALSE)))))</f>
        <v/>
      </c>
      <c r="D27" s="5" t="str">
        <f>IF(
OR(ISBLANK($A27),ISBLANK($B27),ISBLANK($B$6),ISBLANK($B$5),ISBLANK($B$7),$A27="Residential urban land",$A27="Commercial/industrial urban land",$A27="Open urban land",$A27="Greenspace",$A27="Community food growing",$A27="Woodland",$A27="Shrub",$A27="Water"),"",IF(ISNUMBER(IFERROR($B27*VLOOKUP((IF(
OR($A27="Residential urban land",$A27="Commercial/industrial urban land",$A27="Open urban land",$A27="Greenspace",$A27="Community food growing",$A27="Woodland",$A27="Shrub",$A27="Water"),"|||"&amp;$A27,(VLOOKUP(Nutrients_from_current_land_use!$B$5,Value_look_up_tables!$A$148:$B$148,2,FALSE)&amp;"|"&amp;$A27&amp;"|"&amp;VLOOKUP(Nutrients_from_current_land_use!$B$8,Value_look_up_tables!$A$161:$B$162,2,FALSE)&amp;"|"&amp;VLOOKUP(Nutrients_from_current_land_use!$B$7,Value_look_up_tables!$A$122:$C$144,3,FALSE)&amp;"|"&amp;VLOOKUP($B$6,Value_look_up_tables!$A$152:$B$157,2,FALSE)))),Value_look_up_tables!$F$15:$H$118,3,FALSE),
IFERROR($B27*VLOOKUP($A27&amp;"|"&amp;VLOOKUP(Nutrients_from_current_land_use!$B$8,Value_look_up_tables!$A$161:$B$162,2,FALSE)&amp;"|"&amp;VLOOKUP(Nutrients_from_current_land_use!$B$7,Value_look_up_tables!$A$122:$C$144,3,FALSE)&amp;"|"&amp;VLOOKUP($B$6,Value_look_up_tables!$A$152:$B$157,2,FALSE),Value_look_up_tables!$F$15:$H$118,3,FALSE),"In the absence of real world data, this figure has been generated using the most relevant average nutrient export coefficient."))),"","In the absence of real world data, this figure has been generated using the most relevant average nutrient export coefficient."))</f>
        <v/>
      </c>
    </row>
    <row r="28" spans="1:6" ht="24" customHeight="1">
      <c r="A28" s="45" t="s">
        <v>95</v>
      </c>
      <c r="B28" s="20">
        <f>SUM(B11:B27)</f>
        <v>0</v>
      </c>
      <c r="C28" s="21">
        <f>SUM(C11:C27)</f>
        <v>0</v>
      </c>
      <c r="D28" s="25"/>
    </row>
    <row r="30" spans="1:6" ht="15">
      <c r="F30" s="26"/>
    </row>
  </sheetData>
  <sheetProtection algorithmName="SHA-512" hashValue="FPW7KSTeySvHqwDp5+urMmOjJ4JhCFj39yzrV0WZ5K8wf7rkEdYFUDhVS8eKy8iVCPcB8enZ69uRh7HgADJaNQ==" saltValue="CgwLihAEDIdO8IxjqAFs9w=="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88"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Value_look_up_tables!$A$148</xm:f>
          </x14:formula1>
          <xm:sqref>B5</xm:sqref>
        </x14:dataValidation>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Value_look_up_tables!$A$134:$A$140</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Value_look_up_tables!$A$161:$A$162</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Value_look_up_tables!$A$152:$A$157</xm:f>
          </x14:formula1>
          <xm:sqref>B6</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Value_look_up_tables!$A$186:$A$200</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E22"/>
  <sheetViews>
    <sheetView zoomScaleNormal="100" workbookViewId="0"/>
  </sheetViews>
  <sheetFormatPr defaultColWidth="9.140625" defaultRowHeight="14.25"/>
  <cols>
    <col min="1" max="1" width="80.5703125" style="38" customWidth="1"/>
    <col min="2" max="2" width="40.5703125" style="38" customWidth="1"/>
    <col min="3" max="3" width="24.5703125" style="38" customWidth="1"/>
    <col min="4" max="473" width="8.5703125" style="38" customWidth="1"/>
    <col min="474" max="16384" width="9.140625" style="38"/>
  </cols>
  <sheetData>
    <row r="1" spans="1:3" ht="30">
      <c r="A1" s="14" t="s">
        <v>15</v>
      </c>
      <c r="B1" s="37"/>
      <c r="C1" s="37"/>
    </row>
    <row r="2" spans="1:3" ht="224.25" customHeight="1">
      <c r="A2" s="33" t="s">
        <v>96</v>
      </c>
      <c r="B2" s="78"/>
      <c r="C2" s="37"/>
    </row>
    <row r="3" spans="1:3" ht="69.95" customHeight="1">
      <c r="A3" s="23" t="s">
        <v>97</v>
      </c>
      <c r="B3" s="39"/>
      <c r="C3" s="39"/>
    </row>
    <row r="4" spans="1:3" ht="54" customHeight="1">
      <c r="A4" s="34" t="s">
        <v>98</v>
      </c>
      <c r="B4" s="34" t="s">
        <v>92</v>
      </c>
      <c r="C4" s="34" t="s">
        <v>99</v>
      </c>
    </row>
    <row r="5" spans="1:3" ht="23.25" customHeight="1">
      <c r="A5" s="35"/>
      <c r="B5" s="19"/>
      <c r="C5" s="42" t="str">
        <f>IF(OR(ISBLANK(A5),ISBLANK(B5)),"",B5*VLOOKUP((IF(OR(A5="Residential urban land",A5="Commercial/industrial urban land",A5="Open urban land",A5="Greenspace",A5="Community food growing",A5="Woodland",A5="Shrub", A5="Water"), "|||"&amp;A5, (VLOOKUP(Nutrients_from_current_land_use!$B$5,Value_look_up_tables!$A$148:$B$148,2,FALSE)&amp;"|"&amp;A5&amp;"|"&amp;VLOOKUP(Nutrients_from_current_land_use!#REF!,Value_look_up_tables!$A$161:$B$162,2,FALSE)&amp;"|"&amp;VLOOKUP(Nutrients_from_current_land_use!#REF!,Value_look_up_tables!$A$122:$C$144,3,FALSE)&amp;"|"&amp;VLOOKUP(Nutrients_from_current_land_use!$B$6,Value_look_up_tables!$A$152:$B$157,2,FALSE)))),Value_look_up_tables!$F$15:$H$118,3,FALSE))</f>
        <v/>
      </c>
    </row>
    <row r="6" spans="1:3" ht="23.25" customHeight="1">
      <c r="A6" s="1"/>
      <c r="B6" s="18"/>
      <c r="C6" s="40" t="str">
        <f>IF(OR(ISBLANK(A6),ISBLANK(B6)),"",B6*VLOOKUP((IF(OR(A6="Residential urban land",A6="Commercial/industrial urban land",A6="Open urban land",A6="Greenspace",A6="Community food growing",A6="Woodland",A6="Shrub", A6="Water"), "|||"&amp;A6, (VLOOKUP(Nutrients_from_current_land_use!$B$5,Value_look_up_tables!$A$148:$B$148,2,FALSE)&amp;"|"&amp;A6&amp;"|"&amp;VLOOKUP(Nutrients_from_current_land_use!#REF!,Value_look_up_tables!$A$161:$B$162,2,FALSE)&amp;"|"&amp;VLOOKUP(Nutrients_from_current_land_use!#REF!,Value_look_up_tables!$A$122:$C$144,3,FALSE)&amp;"|"&amp;VLOOKUP(Nutrients_from_current_land_use!$B$6,Value_look_up_tables!$A$152:$B$157,2,FALSE)))),Value_look_up_tables!$F$15:$H$118,3,FALSE))</f>
        <v/>
      </c>
    </row>
    <row r="7" spans="1:3" ht="23.25" customHeight="1">
      <c r="A7" s="1"/>
      <c r="B7" s="18"/>
      <c r="C7" s="40" t="str">
        <f>IF(OR(ISBLANK(A7),ISBLANK(B7)),"",B7*VLOOKUP((IF(OR(A7="Residential urban land",A7="Commercial/industrial urban land",A7="Open urban land",A7="Greenspace",A7="Community food growing",A7="Woodland",A7="Shrub", A7="Water"), "|||"&amp;A7, (VLOOKUP(Nutrients_from_current_land_use!$B$5,Value_look_up_tables!$A$148:$B$148,2,FALSE)&amp;"|"&amp;A7&amp;"|"&amp;VLOOKUP(Nutrients_from_current_land_use!#REF!,Value_look_up_tables!$A$161:$B$162,2,FALSE)&amp;"|"&amp;VLOOKUP(Nutrients_from_current_land_use!#REF!,Value_look_up_tables!$A$122:$C$144,3,FALSE)&amp;"|"&amp;VLOOKUP(Nutrients_from_current_land_use!$B$6,Value_look_up_tables!$A$152:$B$157,2,FALSE)))),Value_look_up_tables!$F$15:$H$118,3,FALSE))</f>
        <v/>
      </c>
    </row>
    <row r="8" spans="1:3" ht="23.25" customHeight="1">
      <c r="A8" s="1"/>
      <c r="B8" s="18"/>
      <c r="C8" s="40" t="str">
        <f>IF(OR(ISBLANK(A8),ISBLANK(B8)),"",B8*VLOOKUP((IF(OR(A8="Residential urban land",A8="Commercial/industrial urban land",A8="Open urban land",A8="Greenspace",A8="Community food growing",A8="Woodland",A8="Shrub", A8="Water"), "|||"&amp;A8, (VLOOKUP(Nutrients_from_current_land_use!$B$5,Value_look_up_tables!$A$148:$B$148,2,FALSE)&amp;"|"&amp;A8&amp;"|"&amp;VLOOKUP(Nutrients_from_current_land_use!#REF!,Value_look_up_tables!$A$161:$B$162,2,FALSE)&amp;"|"&amp;VLOOKUP(Nutrients_from_current_land_use!#REF!,Value_look_up_tables!$A$122:$C$144,3,FALSE)&amp;"|"&amp;VLOOKUP(Nutrients_from_current_land_use!$B$6,Value_look_up_tables!$A$152:$B$157,2,FALSE)))),Value_look_up_tables!$F$15:$H$118,3,FALSE))</f>
        <v/>
      </c>
    </row>
    <row r="9" spans="1:3" ht="23.25" customHeight="1">
      <c r="A9" s="1"/>
      <c r="B9" s="18"/>
      <c r="C9" s="40" t="str">
        <f>IF(OR(ISBLANK(A9),ISBLANK(B9)),"",B9*VLOOKUP((IF(OR(A9="Residential urban land",A9="Commercial/industrial urban land",A9="Open urban land",A9="Greenspace",A9="Community food growing",A9="Woodland",A9="Shrub", A9="Water"), "|||"&amp;A9, (VLOOKUP(Nutrients_from_current_land_use!$B$5,Value_look_up_tables!$A$148:$B$148,2,FALSE)&amp;"|"&amp;A9&amp;"|"&amp;VLOOKUP(Nutrients_from_current_land_use!#REF!,Value_look_up_tables!$A$161:$B$162,2,FALSE)&amp;"|"&amp;VLOOKUP(Nutrients_from_current_land_use!#REF!,Value_look_up_tables!$A$122:$C$144,3,FALSE)&amp;"|"&amp;VLOOKUP(Nutrients_from_current_land_use!$B$6,Value_look_up_tables!$A$152:$B$157,2,FALSE)))),Value_look_up_tables!$F$15:$H$118,3,FALSE))</f>
        <v/>
      </c>
    </row>
    <row r="10" spans="1:3" ht="23.25" customHeight="1">
      <c r="A10" s="1"/>
      <c r="B10" s="18"/>
      <c r="C10" s="40" t="str">
        <f>IF(OR(ISBLANK(A10),ISBLANK(B10)),"",B10*VLOOKUP((IF(OR(A10="Residential urban land",A10="Commercial/industrial urban land",A10="Open urban land",A10="Greenspace",A10="Community food growing",A10="Woodland",A10="Shrub", A10="Water"), "|||"&amp;A10, (VLOOKUP(Nutrients_from_current_land_use!$B$5,Value_look_up_tables!$A$148:$B$148,2,FALSE)&amp;"|"&amp;A10&amp;"|"&amp;VLOOKUP(Nutrients_from_current_land_use!#REF!,Value_look_up_tables!$A$161:$B$162,2,FALSE)&amp;"|"&amp;VLOOKUP(Nutrients_from_current_land_use!#REF!,Value_look_up_tables!$A$122:$C$144,3,FALSE)&amp;"|"&amp;VLOOKUP(Nutrients_from_current_land_use!$B$6,Value_look_up_tables!$A$152:$B$157,2,FALSE)))),Value_look_up_tables!$F$15:$H$118,3,FALSE))</f>
        <v/>
      </c>
    </row>
    <row r="11" spans="1:3" ht="23.25" customHeight="1">
      <c r="A11" s="1"/>
      <c r="B11" s="18"/>
      <c r="C11" s="40" t="str">
        <f>IF(OR(ISBLANK(A11),ISBLANK(B11)),"",B11*VLOOKUP((IF(OR(A11="Residential urban land",A11="Commercial/industrial urban land",A11="Open urban land",A11="Greenspace",A11="Community food growing",A11="Woodland",A11="Shrub", A11="Water"), "|||"&amp;A11, (VLOOKUP(Nutrients_from_current_land_use!$B$5,Value_look_up_tables!$A$148:$B$148,2,FALSE)&amp;"|"&amp;A11&amp;"|"&amp;VLOOKUP(Nutrients_from_current_land_use!#REF!,Value_look_up_tables!$A$161:$B$162,2,FALSE)&amp;"|"&amp;VLOOKUP(Nutrients_from_current_land_use!#REF!,Value_look_up_tables!$A$122:$C$144,3,FALSE)&amp;"|"&amp;VLOOKUP(Nutrients_from_current_land_use!$B$6,Value_look_up_tables!$A$152:$B$157,2,FALSE)))),Value_look_up_tables!$F$15:$H$118,3,FALSE))</f>
        <v/>
      </c>
    </row>
    <row r="12" spans="1:3" ht="23.25" customHeight="1">
      <c r="A12" s="1"/>
      <c r="B12" s="18"/>
      <c r="C12" s="40" t="str">
        <f>IF(OR(ISBLANK(A12),ISBLANK(B12)),"",B12*VLOOKUP((IF(OR(A12="Residential urban land",A12="Commercial/industrial urban land",A12="Open urban land",A12="Greenspace",A12="Community food growing",A12="Woodland",A12="Shrub", A12="Water"), "|||"&amp;A12, (VLOOKUP(Nutrients_from_current_land_use!$B$5,Value_look_up_tables!$A$148:$B$148,2,FALSE)&amp;"|"&amp;A12&amp;"|"&amp;VLOOKUP(Nutrients_from_current_land_use!#REF!,Value_look_up_tables!$A$161:$B$162,2,FALSE)&amp;"|"&amp;VLOOKUP(Nutrients_from_current_land_use!#REF!,Value_look_up_tables!$A$122:$C$144,3,FALSE)&amp;"|"&amp;VLOOKUP(Nutrients_from_current_land_use!$B$6,Value_look_up_tables!$A$152:$B$157,2,FALSE)))),Value_look_up_tables!$F$15:$H$118,3,FALSE))</f>
        <v/>
      </c>
    </row>
    <row r="13" spans="1:3" ht="23.25" customHeight="1">
      <c r="A13" s="1"/>
      <c r="B13" s="18"/>
      <c r="C13" s="40" t="str">
        <f>IF(OR(ISBLANK(A13),ISBLANK(B13)),"",B13*VLOOKUP((IF(OR(A13="Residential urban land",A13="Commercial/industrial urban land",A13="Open urban land",A13="Greenspace",A13="Community food growing",A13="Woodland",A13="Shrub", A13="Water"), "|||"&amp;A13, (VLOOKUP(Nutrients_from_current_land_use!$B$5,Value_look_up_tables!$A$148:$B$148,2,FALSE)&amp;"|"&amp;A13&amp;"|"&amp;VLOOKUP(Nutrients_from_current_land_use!#REF!,Value_look_up_tables!$A$161:$B$162,2,FALSE)&amp;"|"&amp;VLOOKUP(Nutrients_from_current_land_use!#REF!,Value_look_up_tables!$A$122:$C$144,3,FALSE)&amp;"|"&amp;VLOOKUP(Nutrients_from_current_land_use!$B$6,Value_look_up_tables!$A$152:$B$157,2,FALSE)))),Value_look_up_tables!$F$15:$H$118,3,FALSE))</f>
        <v/>
      </c>
    </row>
    <row r="14" spans="1:3" ht="23.25" customHeight="1">
      <c r="A14" s="1"/>
      <c r="B14" s="18"/>
      <c r="C14" s="40" t="str">
        <f>IF(OR(ISBLANK(A14),ISBLANK(B14)),"",B14*VLOOKUP((IF(OR(A14="Residential urban land",A14="Commercial/industrial urban land",A14="Open urban land",A14="Greenspace",A14="Community food growing",A14="Woodland",A14="Shrub", A14="Water"), "|||"&amp;A14, (VLOOKUP(Nutrients_from_current_land_use!$B$5,Value_look_up_tables!$A$148:$B$148,2,FALSE)&amp;"|"&amp;A14&amp;"|"&amp;VLOOKUP(Nutrients_from_current_land_use!#REF!,Value_look_up_tables!$A$161:$B$162,2,FALSE)&amp;"|"&amp;VLOOKUP(Nutrients_from_current_land_use!#REF!,Value_look_up_tables!$A$122:$C$144,3,FALSE)&amp;"|"&amp;VLOOKUP(Nutrients_from_current_land_use!$B$6,Value_look_up_tables!$A$152:$B$157,2,FALSE)))),Value_look_up_tables!$F$15:$H$118,3,FALSE))</f>
        <v/>
      </c>
    </row>
    <row r="15" spans="1:3" ht="23.25" customHeight="1">
      <c r="A15" s="1"/>
      <c r="B15" s="18"/>
      <c r="C15" s="40" t="str">
        <f>IF(OR(ISBLANK(A15),ISBLANK(B15)),"",B15*VLOOKUP((IF(OR(A15="Residential urban land",A15="Commercial/industrial urban land",A15="Open urban land",A15="Greenspace",A15="Community food growing",A15="Woodland",A15="Shrub", A15="Water"), "|||"&amp;A15, (VLOOKUP(Nutrients_from_current_land_use!$B$5,Value_look_up_tables!$A$148:$B$148,2,FALSE)&amp;"|"&amp;A15&amp;"|"&amp;VLOOKUP(Nutrients_from_current_land_use!#REF!,Value_look_up_tables!$A$161:$B$162,2,FALSE)&amp;"|"&amp;VLOOKUP(Nutrients_from_current_land_use!#REF!,Value_look_up_tables!$A$122:$C$144,3,FALSE)&amp;"|"&amp;VLOOKUP(Nutrients_from_current_land_use!$B$6,Value_look_up_tables!$A$152:$B$157,2,FALSE)))),Value_look_up_tables!$F$15:$H$118,3,FALSE))</f>
        <v/>
      </c>
    </row>
    <row r="16" spans="1:3" ht="23.25" customHeight="1">
      <c r="A16" s="1"/>
      <c r="B16" s="18"/>
      <c r="C16" s="40" t="str">
        <f>IF(OR(ISBLANK(A16),ISBLANK(B16)),"",B16*VLOOKUP((IF(OR(A16="Residential urban land",A16="Commercial/industrial urban land",A16="Open urban land",A16="Greenspace",A16="Community food growing",A16="Woodland",A16="Shrub", A16="Water"), "|||"&amp;A16, (VLOOKUP(Nutrients_from_current_land_use!$B$5,Value_look_up_tables!$A$148:$B$148,2,FALSE)&amp;"|"&amp;A16&amp;"|"&amp;VLOOKUP(Nutrients_from_current_land_use!#REF!,Value_look_up_tables!$A$161:$B$162,2,FALSE)&amp;"|"&amp;VLOOKUP(Nutrients_from_current_land_use!#REF!,Value_look_up_tables!$A$122:$C$144,3,FALSE)&amp;"|"&amp;VLOOKUP(Nutrients_from_current_land_use!$B$6,Value_look_up_tables!$A$152:$B$157,2,FALSE)))),Value_look_up_tables!$F$15:$H$118,3,FALSE))</f>
        <v/>
      </c>
    </row>
    <row r="17" spans="1:5" ht="23.25" customHeight="1">
      <c r="A17" s="1"/>
      <c r="B17" s="18"/>
      <c r="C17" s="40" t="str">
        <f>IF(OR(ISBLANK(A17),ISBLANK(B17)),"",B17*VLOOKUP((IF(OR(A17="Residential urban land",A17="Commercial/industrial urban land",A17="Open urban land",A17="Greenspace",A17="Community food growing",A17="Woodland",A17="Shrub", A17="Water"), "|||"&amp;A17, (VLOOKUP(Nutrients_from_current_land_use!$B$5,Value_look_up_tables!$A$148:$B$148,2,FALSE)&amp;"|"&amp;A17&amp;"|"&amp;VLOOKUP(Nutrients_from_current_land_use!#REF!,Value_look_up_tables!$A$161:$B$162,2,FALSE)&amp;"|"&amp;VLOOKUP(Nutrients_from_current_land_use!#REF!,Value_look_up_tables!$A$122:$C$144,3,FALSE)&amp;"|"&amp;VLOOKUP(Nutrients_from_current_land_use!$B$6,Value_look_up_tables!$A$152:$B$157,2,FALSE)))),Value_look_up_tables!$F$15:$H$118,3,FALSE))</f>
        <v/>
      </c>
    </row>
    <row r="18" spans="1:5" ht="23.25" customHeight="1">
      <c r="A18" s="1"/>
      <c r="B18" s="18"/>
      <c r="C18" s="40" t="str">
        <f>IF(OR(ISBLANK(A18),ISBLANK(B18)),"",B18*VLOOKUP((IF(OR(A18="Residential urban land",A18="Commercial/industrial urban land",A18="Open urban land",A18="Greenspace",A18="Community food growing",A18="Woodland",A18="Shrub", A18="Water"), "|||"&amp;A18, (VLOOKUP(Nutrients_from_current_land_use!$B$5,Value_look_up_tables!$A$148:$B$148,2,FALSE)&amp;"|"&amp;A18&amp;"|"&amp;VLOOKUP(Nutrients_from_current_land_use!#REF!,Value_look_up_tables!$A$161:$B$162,2,FALSE)&amp;"|"&amp;VLOOKUP(Nutrients_from_current_land_use!#REF!,Value_look_up_tables!$A$122:$C$144,3,FALSE)&amp;"|"&amp;VLOOKUP(Nutrients_from_current_land_use!$B$6,Value_look_up_tables!$A$152:$B$157,2,FALSE)))),Value_look_up_tables!$F$15:$H$118,3,FALSE))</f>
        <v/>
      </c>
    </row>
    <row r="19" spans="1:5" ht="23.25" customHeight="1">
      <c r="A19" s="1"/>
      <c r="B19" s="18"/>
      <c r="C19" s="40" t="str">
        <f>IF(OR(ISBLANK(A19),ISBLANK(B19)),"",B19*VLOOKUP((IF(OR(A19="Residential urban land",A19="Commercial/industrial urban land",A19="Open urban land",A19="Greenspace",A19="Community food growing",A19="Woodland",A19="Shrub", A19="Water"), "|||"&amp;A19, (VLOOKUP(Nutrients_from_current_land_use!$B$5,Value_look_up_tables!$A$148:$B$148,2,FALSE)&amp;"|"&amp;A19&amp;"|"&amp;VLOOKUP(Nutrients_from_current_land_use!#REF!,Value_look_up_tables!$A$161:$B$162,2,FALSE)&amp;"|"&amp;VLOOKUP(Nutrients_from_current_land_use!#REF!,Value_look_up_tables!$A$122:$C$144,3,FALSE)&amp;"|"&amp;VLOOKUP(Nutrients_from_current_land_use!$B$6,Value_look_up_tables!$A$152:$B$157,2,FALSE)))),Value_look_up_tables!$F$15:$H$118,3,FALSE))</f>
        <v/>
      </c>
    </row>
    <row r="20" spans="1:5" ht="23.25" customHeight="1">
      <c r="A20" s="1"/>
      <c r="B20" s="18"/>
      <c r="C20" s="40" t="str">
        <f>IF(OR(ISBLANK(A20),ISBLANK(B20)),"",B20*VLOOKUP((IF(OR(A20="Residential urban land",A20="Commercial/industrial urban land",A20="Open urban land",A20="Greenspace",A20="Community food growing",A20="Woodland",A20="Shrub", A20="Water"), "|||"&amp;A20, (VLOOKUP(Nutrients_from_current_land_use!$B$5,Value_look_up_tables!$A$148:$B$148,2,FALSE)&amp;"|"&amp;A20&amp;"|"&amp;VLOOKUP(Nutrients_from_current_land_use!#REF!,Value_look_up_tables!$A$161:$B$162,2,FALSE)&amp;"|"&amp;VLOOKUP(Nutrients_from_current_land_use!#REF!,Value_look_up_tables!$A$122:$C$144,3,FALSE)&amp;"|"&amp;VLOOKUP(Nutrients_from_current_land_use!$B$6,Value_look_up_tables!$A$152:$B$157,2,FALSE)))),Value_look_up_tables!$F$15:$H$118,3,FALSE))</f>
        <v/>
      </c>
      <c r="E20" s="43"/>
    </row>
    <row r="21" spans="1:5" ht="23.25" customHeight="1">
      <c r="A21" s="1"/>
      <c r="B21" s="18"/>
      <c r="C21" s="40" t="str">
        <f>IF(OR(ISBLANK(A21),ISBLANK(B21)),"",B21*VLOOKUP((IF(OR(A21="Residential urban land",A21="Commercial/industrial urban land",A21="Open urban land",A21="Greenspace",A21="Community food growing",A21="Woodland",A21="Shrub", A21="Water"), "|||"&amp;A21, (VLOOKUP(Nutrients_from_current_land_use!$B$5,Value_look_up_tables!$A$148:$B$148,2,FALSE)&amp;"|"&amp;A21&amp;"|"&amp;VLOOKUP(Nutrients_from_current_land_use!#REF!,Value_look_up_tables!$A$161:$B$162,2,FALSE)&amp;"|"&amp;VLOOKUP(Nutrients_from_current_land_use!#REF!,Value_look_up_tables!$A$122:$C$144,3,FALSE)&amp;"|"&amp;VLOOKUP(Nutrients_from_current_land_use!$B$6,Value_look_up_tables!$A$152:$B$157,2,FALSE)))),Value_look_up_tables!$F$15:$H$118,3,FALSE))</f>
        <v/>
      </c>
    </row>
    <row r="22" spans="1:5" ht="23.25" customHeight="1">
      <c r="A22" s="10" t="s">
        <v>95</v>
      </c>
      <c r="B22" s="44">
        <f>SUM(B5:B21)</f>
        <v>0</v>
      </c>
      <c r="C22" s="40">
        <f>SUM(C5:C21)</f>
        <v>0</v>
      </c>
    </row>
  </sheetData>
  <sheetProtection algorithmName="SHA-512" hashValue="w/q1OsJpGNSeQsYBPXLpmWX8DfURaziOsu3w1vla0KdKubKdTQX84T/FpkNkXxoj6HprMN5W7+0ZWmSRyvHi4A==" saltValue="O1M634BBLgUWWIe2r3BM1A=="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Value_look_up_tables!$A$175:$A$182</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K29"/>
  <sheetViews>
    <sheetView zoomScaleNormal="100" workbookViewId="0"/>
  </sheetViews>
  <sheetFormatPr defaultColWidth="9.140625" defaultRowHeight="14.25"/>
  <cols>
    <col min="1" max="1" width="137.28515625" style="41" customWidth="1"/>
    <col min="2" max="3" width="19.85546875" style="41" customWidth="1"/>
    <col min="4" max="4" width="19.5703125" style="41" customWidth="1"/>
    <col min="5" max="5" width="60.85546875" style="41" customWidth="1"/>
    <col min="6" max="6" width="23" style="41" customWidth="1"/>
    <col min="7" max="7" width="23.7109375" style="41" customWidth="1"/>
    <col min="8" max="8" width="50.7109375" style="41" customWidth="1"/>
    <col min="9" max="471" width="8.5703125" style="41" customWidth="1"/>
    <col min="472" max="16384" width="9.140625" style="41"/>
  </cols>
  <sheetData>
    <row r="1" spans="1:11" ht="67.5" customHeight="1">
      <c r="A1" s="14" t="s">
        <v>100</v>
      </c>
      <c r="B1" s="37"/>
      <c r="C1" s="37"/>
      <c r="D1" s="37"/>
    </row>
    <row r="2" spans="1:11" ht="409.6" customHeight="1">
      <c r="A2" s="2" t="s">
        <v>101</v>
      </c>
      <c r="B2" s="80"/>
      <c r="C2" s="80"/>
      <c r="D2" s="80"/>
    </row>
    <row r="3" spans="1:11" ht="97.5" customHeight="1">
      <c r="A3" s="74" t="s">
        <v>102</v>
      </c>
      <c r="B3" s="74" t="s">
        <v>103</v>
      </c>
      <c r="C3" s="74" t="s">
        <v>104</v>
      </c>
      <c r="D3" s="74" t="s">
        <v>105</v>
      </c>
      <c r="E3" s="74" t="s">
        <v>106</v>
      </c>
      <c r="F3" s="74" t="s">
        <v>107</v>
      </c>
      <c r="G3" s="74" t="s">
        <v>108</v>
      </c>
      <c r="H3" s="81" t="s">
        <v>94</v>
      </c>
    </row>
    <row r="4" spans="1:11" ht="28.5" customHeight="1">
      <c r="A4" s="83"/>
      <c r="B4" s="19"/>
      <c r="C4" s="75"/>
      <c r="D4" s="42" t="str">
        <f>IFERROR(IF(ISBLANK(A4),"",IF(ISBLANK(B4),"",VLOOKUP(A4,Nutrients_from_future_land_use!$A$5:$C$21,3,FALSE)*(B4/VLOOKUP(A4,Nutrients_from_future_land_use!$A$5:$C$21,2,FALSE)))),"")</f>
        <v/>
      </c>
      <c r="E4" s="75"/>
      <c r="F4" s="75"/>
      <c r="G4" s="42" t="str">
        <f t="shared" ref="G4:G28" si="0">IFERROR(IF(OR(ISBLANK($A4),ISBLANK($B4),ISBLANK($F4)),"",$C4/100*D4*F4/100),"")</f>
        <v/>
      </c>
      <c r="H4" s="3" t="str">
        <f>IF(SUMIFS($B$4:$B$28,$A$4:$A$28,A4)&gt;SUMIFS(Nutrients_from_future_land_use!$B$5:$B$21,Nutrients_from_future_land_use!$A$5:$A$21,A4),"Area of new land covers within SuDS catchment area exceeds the area of new land covers proposed","")</f>
        <v/>
      </c>
    </row>
    <row r="5" spans="1:11" ht="28.5" customHeight="1">
      <c r="A5" s="84"/>
      <c r="B5" s="18"/>
      <c r="C5" s="75"/>
      <c r="D5" s="42" t="str">
        <f>IFERROR(IF(ISBLANK(A5),"",IF(ISBLANK(B5),"",VLOOKUP(A5,Nutrients_from_future_land_use!$A$5:$C$21,3,FALSE)*(B5/VLOOKUP(A5,Nutrients_from_future_land_use!$A$5:$C$21,2,FALSE)))),"")</f>
        <v/>
      </c>
      <c r="E5" s="75"/>
      <c r="F5" s="75"/>
      <c r="G5" s="42" t="str">
        <f t="shared" si="0"/>
        <v/>
      </c>
      <c r="H5" s="3" t="str">
        <f>IF(SUMIFS($B$4:$B$28,$A$4:$A$28,A5)&gt;SUMIFS(Nutrients_from_future_land_use!$B$5:$B$21,Nutrients_from_future_land_use!$A$5:$A$21,A5),"Area of new land covers within SuDS catchment area exceeds the area of new land covers proposed","")</f>
        <v/>
      </c>
    </row>
    <row r="6" spans="1:11" ht="28.5" customHeight="1">
      <c r="A6" s="84"/>
      <c r="B6" s="18"/>
      <c r="C6" s="75"/>
      <c r="D6" s="42" t="str">
        <f>IFERROR(IF(ISBLANK(A6),"",IF(ISBLANK(B6),"",VLOOKUP(A6,Nutrients_from_future_land_use!$A$5:$C$21,3,FALSE)*(B6/VLOOKUP(A6,Nutrients_from_future_land_use!$A$5:$C$21,2,FALSE)))),"")</f>
        <v/>
      </c>
      <c r="E6" s="75"/>
      <c r="F6" s="75"/>
      <c r="G6" s="42" t="str">
        <f t="shared" si="0"/>
        <v/>
      </c>
      <c r="H6" s="3" t="str">
        <f>IF(SUMIFS($B$4:$B$28,$A$4:$A$28,A6)&gt;SUMIFS(Nutrients_from_future_land_use!$B$5:$B$21,Nutrients_from_future_land_use!$A$5:$A$21,A6),"Area of new land covers within SuDS catchment area exceeds the area of new land covers proposed","")</f>
        <v/>
      </c>
    </row>
    <row r="7" spans="1:11" ht="28.5" customHeight="1">
      <c r="A7" s="84"/>
      <c r="B7" s="18"/>
      <c r="C7" s="75"/>
      <c r="D7" s="42" t="str">
        <f>IFERROR(IF(ISBLANK(A7),"",IF(ISBLANK(B7),"",VLOOKUP(A7,Nutrients_from_future_land_use!$A$5:$C$21,3,FALSE)*(B7/VLOOKUP(A7,Nutrients_from_future_land_use!$A$5:$C$21,2,FALSE)))),"")</f>
        <v/>
      </c>
      <c r="E7" s="75"/>
      <c r="F7" s="75"/>
      <c r="G7" s="42" t="str">
        <f t="shared" si="0"/>
        <v/>
      </c>
      <c r="H7" s="3" t="str">
        <f>IF(SUMIFS($B$4:$B$28,$A$4:$A$28,A7)&gt;SUMIFS(Nutrients_from_future_land_use!$B$5:$B$21,Nutrients_from_future_land_use!$A$5:$A$21,A7),"Area of new land covers within SuDS catchment area exceeds the area of new land covers proposed","")</f>
        <v/>
      </c>
    </row>
    <row r="8" spans="1:11" ht="28.5" customHeight="1">
      <c r="A8" s="84"/>
      <c r="B8" s="18"/>
      <c r="C8" s="75"/>
      <c r="D8" s="42" t="str">
        <f>IFERROR(IF(ISBLANK(A8),"",IF(ISBLANK(B8),"",VLOOKUP(A8,Nutrients_from_future_land_use!$A$5:$C$21,3,FALSE)*(B8/VLOOKUP(A8,Nutrients_from_future_land_use!$A$5:$C$21,2,FALSE)))),"")</f>
        <v/>
      </c>
      <c r="E8" s="75"/>
      <c r="F8" s="75"/>
      <c r="G8" s="42" t="str">
        <f t="shared" si="0"/>
        <v/>
      </c>
      <c r="H8" s="3" t="str">
        <f>IF(SUMIFS($B$4:$B$28,$A$4:$A$28,A8)&gt;SUMIFS(Nutrients_from_future_land_use!$B$5:$B$21,Nutrients_from_future_land_use!$A$5:$A$21,A8),"Area of new land covers within SuDS catchment area exceeds the area of new land covers proposed","")</f>
        <v/>
      </c>
      <c r="K8" s="79"/>
    </row>
    <row r="9" spans="1:11" ht="28.5" customHeight="1">
      <c r="A9" s="84"/>
      <c r="B9" s="18"/>
      <c r="C9" s="75"/>
      <c r="D9" s="42" t="str">
        <f>IFERROR(IF(ISBLANK(A9),"",IF(ISBLANK(B9),"",VLOOKUP(A9,Nutrients_from_future_land_use!$A$5:$C$21,3,FALSE)*(B9/VLOOKUP(A9,Nutrients_from_future_land_use!$A$5:$C$21,2,FALSE)))),"")</f>
        <v/>
      </c>
      <c r="E9" s="75"/>
      <c r="F9" s="75"/>
      <c r="G9" s="42" t="str">
        <f t="shared" si="0"/>
        <v/>
      </c>
      <c r="H9" s="3" t="str">
        <f>IF(SUMIFS($B$4:$B$28,$A$4:$A$28,A9)&gt;SUMIFS(Nutrients_from_future_land_use!$B$5:$B$21,Nutrients_from_future_land_use!$A$5:$A$21,A9),"Area of new land covers within SuDS catchment area exceeds the area of new land covers proposed","")</f>
        <v/>
      </c>
      <c r="K9" s="79"/>
    </row>
    <row r="10" spans="1:11" ht="28.5" customHeight="1">
      <c r="A10" s="84"/>
      <c r="B10" s="18"/>
      <c r="C10" s="75"/>
      <c r="D10" s="42" t="str">
        <f>IFERROR(IF(ISBLANK(A10),"",IF(ISBLANK(B10),"",VLOOKUP(A10,Nutrients_from_future_land_use!$A$5:$C$21,3,FALSE)*(B10/VLOOKUP(A10,Nutrients_from_future_land_use!$A$5:$C$21,2,FALSE)))),"")</f>
        <v/>
      </c>
      <c r="E10" s="75"/>
      <c r="F10" s="75"/>
      <c r="G10" s="42" t="str">
        <f t="shared" si="0"/>
        <v/>
      </c>
      <c r="H10" s="3" t="str">
        <f>IF(SUMIFS($B$4:$B$28,$A$4:$A$28,A10)&gt;SUMIFS(Nutrients_from_future_land_use!$B$5:$B$21,Nutrients_from_future_land_use!$A$5:$A$21,A10),"Area of new land covers within SuDS catchment area exceeds the area of new land covers proposed","")</f>
        <v/>
      </c>
      <c r="K10" s="79"/>
    </row>
    <row r="11" spans="1:11" ht="28.5" customHeight="1">
      <c r="A11" s="84"/>
      <c r="B11" s="18"/>
      <c r="C11" s="75"/>
      <c r="D11" s="42" t="str">
        <f>IFERROR(IF(ISBLANK(A11),"",IF(ISBLANK(B11),"",VLOOKUP(A11,Nutrients_from_future_land_use!$A$5:$C$21,3,FALSE)*(B11/VLOOKUP(A11,Nutrients_from_future_land_use!$A$5:$C$21,2,FALSE)))),"")</f>
        <v/>
      </c>
      <c r="E11" s="75"/>
      <c r="F11" s="75"/>
      <c r="G11" s="42" t="str">
        <f t="shared" si="0"/>
        <v/>
      </c>
      <c r="H11" s="3" t="str">
        <f>IF(SUMIFS($B$4:$B$28,$A$4:$A$28,A11)&gt;SUMIFS(Nutrients_from_future_land_use!$B$5:$B$21,Nutrients_from_future_land_use!$A$5:$A$21,A11),"Area of new land covers within SuDS catchment area exceeds the area of new land covers proposed","")</f>
        <v/>
      </c>
      <c r="K11" s="79"/>
    </row>
    <row r="12" spans="1:11" ht="28.5" customHeight="1">
      <c r="A12" s="84"/>
      <c r="B12" s="18"/>
      <c r="C12" s="75"/>
      <c r="D12" s="42" t="str">
        <f>IFERROR(IF(ISBLANK(A12),"",IF(ISBLANK(B12),"",VLOOKUP(A12,Nutrients_from_future_land_use!$A$5:$C$21,3,FALSE)*(B12/VLOOKUP(A12,Nutrients_from_future_land_use!$A$5:$C$21,2,FALSE)))),"")</f>
        <v/>
      </c>
      <c r="E12" s="75"/>
      <c r="F12" s="75"/>
      <c r="G12" s="42" t="str">
        <f t="shared" si="0"/>
        <v/>
      </c>
      <c r="H12" s="3" t="str">
        <f>IF(SUMIFS($B$4:$B$28,$A$4:$A$28,A12)&gt;SUMIFS(Nutrients_from_future_land_use!$B$5:$B$21,Nutrients_from_future_land_use!$A$5:$A$21,A12),"Area of new land covers within SuDS catchment area exceeds the area of new land covers proposed","")</f>
        <v/>
      </c>
      <c r="K12" s="79"/>
    </row>
    <row r="13" spans="1:11" ht="28.5" customHeight="1">
      <c r="A13" s="84"/>
      <c r="B13" s="18"/>
      <c r="C13" s="75"/>
      <c r="D13" s="42" t="str">
        <f>IFERROR(IF(ISBLANK(A13),"",IF(ISBLANK(B13),"",VLOOKUP(A13,Nutrients_from_future_land_use!$A$5:$C$21,3,FALSE)*(B13/VLOOKUP(A13,Nutrients_from_future_land_use!$A$5:$C$21,2,FALSE)))),"")</f>
        <v/>
      </c>
      <c r="E13" s="75"/>
      <c r="F13" s="75"/>
      <c r="G13" s="42" t="str">
        <f t="shared" si="0"/>
        <v/>
      </c>
      <c r="H13" s="3" t="str">
        <f>IF(SUMIFS($B$4:$B$28,$A$4:$A$28,A13)&gt;SUMIFS(Nutrients_from_future_land_use!$B$5:$B$21,Nutrients_from_future_land_use!$A$5:$A$21,A13),"Area of new land covers within SuDS catchment area exceeds the area of new land covers proposed","")</f>
        <v/>
      </c>
      <c r="K13" s="79"/>
    </row>
    <row r="14" spans="1:11" ht="28.5" customHeight="1">
      <c r="A14" s="84"/>
      <c r="B14" s="18"/>
      <c r="C14" s="75"/>
      <c r="D14" s="42" t="str">
        <f>IFERROR(IF(ISBLANK(A14),"",IF(ISBLANK(B14),"",VLOOKUP(A14,Nutrients_from_future_land_use!$A$5:$C$21,3,FALSE)*(B14/VLOOKUP(A14,Nutrients_from_future_land_use!$A$5:$C$21,2,FALSE)))),"")</f>
        <v/>
      </c>
      <c r="E14" s="75"/>
      <c r="F14" s="75"/>
      <c r="G14" s="42" t="str">
        <f t="shared" si="0"/>
        <v/>
      </c>
      <c r="H14" s="3" t="str">
        <f>IF(SUMIFS($B$4:$B$28,$A$4:$A$28,A14)&gt;SUMIFS(Nutrients_from_future_land_use!$B$5:$B$21,Nutrients_from_future_land_use!$A$5:$A$21,A14),"Area of new land covers within SuDS catchment area exceeds the area of new land covers proposed","")</f>
        <v/>
      </c>
    </row>
    <row r="15" spans="1:11" ht="28.5" customHeight="1">
      <c r="A15" s="84"/>
      <c r="B15" s="18"/>
      <c r="C15" s="75"/>
      <c r="D15" s="42" t="str">
        <f>IFERROR(IF(ISBLANK(A15),"",IF(ISBLANK(B15),"",VLOOKUP(A15,Nutrients_from_future_land_use!$A$5:$C$21,3,FALSE)*(B15/VLOOKUP(A15,Nutrients_from_future_land_use!$A$5:$C$21,2,FALSE)))),"")</f>
        <v/>
      </c>
      <c r="E15" s="75"/>
      <c r="F15" s="75"/>
      <c r="G15" s="42" t="str">
        <f t="shared" si="0"/>
        <v/>
      </c>
      <c r="H15" s="3" t="str">
        <f>IF(SUMIFS($B$4:$B$28,$A$4:$A$28,A15)&gt;SUMIFS(Nutrients_from_future_land_use!$B$5:$B$21,Nutrients_from_future_land_use!$A$5:$A$21,A15),"Area of new land covers within SuDS catchment area exceeds the area of new land covers proposed","")</f>
        <v/>
      </c>
    </row>
    <row r="16" spans="1:11" ht="28.5" customHeight="1">
      <c r="A16" s="84"/>
      <c r="B16" s="18"/>
      <c r="C16" s="75"/>
      <c r="D16" s="42" t="str">
        <f>IFERROR(IF(ISBLANK(A16),"",IF(ISBLANK(B16),"",VLOOKUP(A16,Nutrients_from_future_land_use!$A$5:$C$21,3,FALSE)*(B16/VLOOKUP(A16,Nutrients_from_future_land_use!$A$5:$C$21,2,FALSE)))),"")</f>
        <v/>
      </c>
      <c r="E16" s="75"/>
      <c r="F16" s="75"/>
      <c r="G16" s="42" t="str">
        <f t="shared" si="0"/>
        <v/>
      </c>
      <c r="H16" s="3" t="str">
        <f>IF(SUMIFS($B$4:$B$28,$A$4:$A$28,A16)&gt;SUMIFS(Nutrients_from_future_land_use!$B$5:$B$21,Nutrients_from_future_land_use!$A$5:$A$21,A16),"Area of new land covers within SuDS catchment area exceeds the area of new land covers proposed","")</f>
        <v/>
      </c>
    </row>
    <row r="17" spans="1:8" ht="28.5" customHeight="1">
      <c r="A17" s="84"/>
      <c r="B17" s="18"/>
      <c r="C17" s="75"/>
      <c r="D17" s="42" t="str">
        <f>IFERROR(IF(ISBLANK(A17),"",IF(ISBLANK(B17),"",VLOOKUP(A17,Nutrients_from_future_land_use!$A$5:$C$21,3,FALSE)*(B17/VLOOKUP(A17,Nutrients_from_future_land_use!$A$5:$C$21,2,FALSE)))),"")</f>
        <v/>
      </c>
      <c r="E17" s="75"/>
      <c r="F17" s="75"/>
      <c r="G17" s="42" t="str">
        <f t="shared" si="0"/>
        <v/>
      </c>
      <c r="H17" s="3" t="str">
        <f>IF(SUMIFS($B$4:$B$28,$A$4:$A$28,A17)&gt;SUMIFS(Nutrients_from_future_land_use!$B$5:$B$21,Nutrients_from_future_land_use!$A$5:$A$21,A17),"Area of new land covers within SuDS catchment area exceeds the area of new land covers proposed","")</f>
        <v/>
      </c>
    </row>
    <row r="18" spans="1:8" ht="28.5" customHeight="1">
      <c r="A18" s="84"/>
      <c r="B18" s="18"/>
      <c r="C18" s="75"/>
      <c r="D18" s="42" t="str">
        <f>IFERROR(IF(ISBLANK(A18),"",IF(ISBLANK(B18),"",VLOOKUP(A18,Nutrients_from_future_land_use!$A$5:$C$21,3,FALSE)*(B18/VLOOKUP(A18,Nutrients_from_future_land_use!$A$5:$C$21,2,FALSE)))),"")</f>
        <v/>
      </c>
      <c r="E18" s="75"/>
      <c r="F18" s="75"/>
      <c r="G18" s="42" t="str">
        <f t="shared" si="0"/>
        <v/>
      </c>
      <c r="H18" s="3" t="str">
        <f>IF(SUMIFS($B$4:$B$28,$A$4:$A$28,A18)&gt;SUMIFS(Nutrients_from_future_land_use!$B$5:$B$21,Nutrients_from_future_land_use!$A$5:$A$21,A18),"Area of new land covers within SuDS catchment area exceeds the area of new land covers proposed","")</f>
        <v/>
      </c>
    </row>
    <row r="19" spans="1:8" ht="28.5" customHeight="1">
      <c r="A19" s="84"/>
      <c r="B19" s="18"/>
      <c r="C19" s="75"/>
      <c r="D19" s="42" t="str">
        <f>IFERROR(IF(ISBLANK(A19),"",IF(ISBLANK(B19),"",VLOOKUP(A19,Nutrients_from_future_land_use!$A$5:$C$21,3,FALSE)*(B19/VLOOKUP(A19,Nutrients_from_future_land_use!$A$5:$C$21,2,FALSE)))),"")</f>
        <v/>
      </c>
      <c r="E19" s="75"/>
      <c r="F19" s="75"/>
      <c r="G19" s="42" t="str">
        <f t="shared" si="0"/>
        <v/>
      </c>
      <c r="H19" s="3" t="str">
        <f>IF(SUMIFS($B$4:$B$28,$A$4:$A$28,A19)&gt;SUMIFS(Nutrients_from_future_land_use!$B$5:$B$21,Nutrients_from_future_land_use!$A$5:$A$21,A19),"Area of new land covers within SuDS catchment area exceeds the area of new land covers proposed","")</f>
        <v/>
      </c>
    </row>
    <row r="20" spans="1:8" ht="28.5" customHeight="1">
      <c r="A20" s="84"/>
      <c r="B20" s="18"/>
      <c r="C20" s="75"/>
      <c r="D20" s="42" t="str">
        <f>IFERROR(IF(ISBLANK(A20),"",IF(ISBLANK(B20),"",VLOOKUP(A20,Nutrients_from_future_land_use!$A$5:$C$21,3,FALSE)*(B20/VLOOKUP(A20,Nutrients_from_future_land_use!$A$5:$C$21,2,FALSE)))),"")</f>
        <v/>
      </c>
      <c r="E20" s="75"/>
      <c r="F20" s="75"/>
      <c r="G20" s="42" t="str">
        <f t="shared" si="0"/>
        <v/>
      </c>
      <c r="H20" s="3" t="str">
        <f>IF(SUMIFS($B$4:$B$28,$A$4:$A$28,A20)&gt;SUMIFS(Nutrients_from_future_land_use!$B$5:$B$21,Nutrients_from_future_land_use!$A$5:$A$21,A20),"Area of new land covers within SuDS catchment area exceeds the area of new land covers proposed","")</f>
        <v/>
      </c>
    </row>
    <row r="21" spans="1:8" ht="28.5" customHeight="1">
      <c r="A21" s="84"/>
      <c r="B21" s="18"/>
      <c r="C21" s="75"/>
      <c r="D21" s="42" t="str">
        <f>IFERROR(IF(ISBLANK(A21),"",IF(ISBLANK(B21),"",VLOOKUP(A21,Nutrients_from_future_land_use!$A$5:$C$21,3,FALSE)*(B21/VLOOKUP(A21,Nutrients_from_future_land_use!$A$5:$C$21,2,FALSE)))),"")</f>
        <v/>
      </c>
      <c r="E21" s="75"/>
      <c r="F21" s="75"/>
      <c r="G21" s="42" t="str">
        <f t="shared" si="0"/>
        <v/>
      </c>
      <c r="H21" s="3" t="str">
        <f>IF(SUMIFS($B$4:$B$28,$A$4:$A$28,A21)&gt;SUMIFS(Nutrients_from_future_land_use!$B$5:$B$21,Nutrients_from_future_land_use!$A$5:$A$21,A21),"Area of new land covers within SuDS catchment area exceeds the area of new land covers proposed","")</f>
        <v/>
      </c>
    </row>
    <row r="22" spans="1:8" ht="28.5" customHeight="1">
      <c r="A22" s="84"/>
      <c r="B22" s="18"/>
      <c r="C22" s="75"/>
      <c r="D22" s="42" t="str">
        <f>IFERROR(IF(ISBLANK(A22),"",IF(ISBLANK(B22),"",VLOOKUP(A22,Nutrients_from_future_land_use!$A$5:$C$21,3,FALSE)*(B22/VLOOKUP(A22,Nutrients_from_future_land_use!$A$5:$C$21,2,FALSE)))),"")</f>
        <v/>
      </c>
      <c r="E22" s="75"/>
      <c r="F22" s="75"/>
      <c r="G22" s="42" t="str">
        <f t="shared" si="0"/>
        <v/>
      </c>
      <c r="H22" s="3" t="str">
        <f>IF(SUMIFS($B$4:$B$28,$A$4:$A$28,A22)&gt;SUMIFS(Nutrients_from_future_land_use!$B$5:$B$21,Nutrients_from_future_land_use!$A$5:$A$21,A22),"Area of new land covers within SuDS catchment area exceeds the area of new land covers proposed","")</f>
        <v/>
      </c>
    </row>
    <row r="23" spans="1:8" ht="28.5" customHeight="1">
      <c r="A23" s="84"/>
      <c r="B23" s="18"/>
      <c r="C23" s="75"/>
      <c r="D23" s="42" t="str">
        <f>IFERROR(IF(ISBLANK(A23),"",IF(ISBLANK(B23),"",VLOOKUP(A23,Nutrients_from_future_land_use!$A$5:$C$21,3,FALSE)*(B23/VLOOKUP(A23,Nutrients_from_future_land_use!$A$5:$C$21,2,FALSE)))),"")</f>
        <v/>
      </c>
      <c r="E23" s="75"/>
      <c r="F23" s="75"/>
      <c r="G23" s="42" t="str">
        <f t="shared" si="0"/>
        <v/>
      </c>
      <c r="H23" s="3" t="str">
        <f>IF(SUMIFS($B$4:$B$28,$A$4:$A$28,A23)&gt;SUMIFS(Nutrients_from_future_land_use!$B$5:$B$21,Nutrients_from_future_land_use!$A$5:$A$21,A23),"Area of new land covers within SuDS catchment area exceeds the area of new land covers proposed","")</f>
        <v/>
      </c>
    </row>
    <row r="24" spans="1:8" ht="28.5" customHeight="1">
      <c r="A24" s="84"/>
      <c r="B24" s="18"/>
      <c r="C24" s="75"/>
      <c r="D24" s="42" t="str">
        <f>IFERROR(IF(ISBLANK(A24),"",IF(ISBLANK(B24),"",VLOOKUP(A24,Nutrients_from_future_land_use!$A$5:$C$21,3,FALSE)*(B24/VLOOKUP(A24,Nutrients_from_future_land_use!$A$5:$C$21,2,FALSE)))),"")</f>
        <v/>
      </c>
      <c r="E24" s="75"/>
      <c r="F24" s="75"/>
      <c r="G24" s="42" t="str">
        <f t="shared" si="0"/>
        <v/>
      </c>
      <c r="H24" s="3" t="str">
        <f>IF(SUMIFS($B$4:$B$28,$A$4:$A$28,A24)&gt;SUMIFS(Nutrients_from_future_land_use!$B$5:$B$21,Nutrients_from_future_land_use!$A$5:$A$21,A24),"Area of new land covers within SuDS catchment area exceeds the area of new land covers proposed","")</f>
        <v/>
      </c>
    </row>
    <row r="25" spans="1:8" ht="28.5" customHeight="1">
      <c r="A25" s="84"/>
      <c r="B25" s="18"/>
      <c r="C25" s="75"/>
      <c r="D25" s="42" t="str">
        <f>IFERROR(IF(ISBLANK(A25),"",IF(ISBLANK(B25),"",VLOOKUP(A25,Nutrients_from_future_land_use!$A$5:$C$21,3,FALSE)*(B25/VLOOKUP(A25,Nutrients_from_future_land_use!$A$5:$C$21,2,FALSE)))),"")</f>
        <v/>
      </c>
      <c r="E25" s="75"/>
      <c r="F25" s="75"/>
      <c r="G25" s="42" t="str">
        <f t="shared" si="0"/>
        <v/>
      </c>
      <c r="H25" s="3" t="str">
        <f>IF(SUMIFS($B$4:$B$28,$A$4:$A$28,A25)&gt;SUMIFS(Nutrients_from_future_land_use!$B$5:$B$21,Nutrients_from_future_land_use!$A$5:$A$21,A25),"Area of new land covers within SuDS catchment area exceeds the area of new land covers proposed","")</f>
        <v/>
      </c>
    </row>
    <row r="26" spans="1:8" ht="28.5" customHeight="1">
      <c r="A26" s="84"/>
      <c r="B26" s="18"/>
      <c r="C26" s="75"/>
      <c r="D26" s="42" t="str">
        <f>IFERROR(IF(ISBLANK(A26),"",IF(ISBLANK(B26),"",VLOOKUP(A26,Nutrients_from_future_land_use!$A$5:$C$21,3,FALSE)*(B26/VLOOKUP(A26,Nutrients_from_future_land_use!$A$5:$C$21,2,FALSE)))),"")</f>
        <v/>
      </c>
      <c r="E26" s="75"/>
      <c r="F26" s="75"/>
      <c r="G26" s="42" t="str">
        <f t="shared" si="0"/>
        <v/>
      </c>
      <c r="H26" s="3" t="str">
        <f>IF(SUMIFS($B$4:$B$28,$A$4:$A$28,A26)&gt;SUMIFS(Nutrients_from_future_land_use!$B$5:$B$21,Nutrients_from_future_land_use!$A$5:$A$21,A26),"Area of new land covers within SuDS catchment area exceeds the area of new land covers proposed","")</f>
        <v/>
      </c>
    </row>
    <row r="27" spans="1:8" ht="28.5" customHeight="1">
      <c r="A27" s="84"/>
      <c r="B27" s="18"/>
      <c r="C27" s="75"/>
      <c r="D27" s="42" t="str">
        <f>IFERROR(IF(ISBLANK(A27),"",IF(ISBLANK(B27),"",VLOOKUP(A27,Nutrients_from_future_land_use!$A$5:$C$21,3,FALSE)*(B27/VLOOKUP(A27,Nutrients_from_future_land_use!$A$5:$C$21,2,FALSE)))),"")</f>
        <v/>
      </c>
      <c r="E27" s="75"/>
      <c r="F27" s="75"/>
      <c r="G27" s="42" t="str">
        <f t="shared" si="0"/>
        <v/>
      </c>
      <c r="H27" s="3" t="str">
        <f>IF(SUMIFS($B$4:$B$28,$A$4:$A$28,A27)&gt;SUMIFS(Nutrients_from_future_land_use!$B$5:$B$21,Nutrients_from_future_land_use!$A$5:$A$21,A27),"Area of new land covers within SuDS catchment area exceeds the area of new land covers proposed","")</f>
        <v/>
      </c>
    </row>
    <row r="28" spans="1:8" ht="28.5" customHeight="1">
      <c r="A28" s="84"/>
      <c r="B28" s="18"/>
      <c r="C28" s="75"/>
      <c r="D28" s="42" t="str">
        <f>IFERROR(IF(ISBLANK(A28),"",IF(ISBLANK(B28),"",VLOOKUP(A28,Nutrients_from_future_land_use!$A$5:$C$21,3,FALSE)*(B28/VLOOKUP(A28,Nutrients_from_future_land_use!$A$5:$C$21,2,FALSE)))),"")</f>
        <v/>
      </c>
      <c r="E28" s="75"/>
      <c r="F28" s="75"/>
      <c r="G28" s="42" t="str">
        <f t="shared" si="0"/>
        <v/>
      </c>
      <c r="H28" s="3" t="str">
        <f>IF(SUMIFS($B$4:$B$28,$A$4:$A$28,A28)&gt;SUMIFS(Nutrients_from_future_land_use!$B$5:$B$21,Nutrients_from_future_land_use!$A$5:$A$21,A28),"Area of new land covers within SuDS catchment area exceeds the area of new land covers proposed","")</f>
        <v/>
      </c>
    </row>
    <row r="29" spans="1:8" ht="22.5" customHeight="1">
      <c r="A29" s="10" t="s">
        <v>95</v>
      </c>
      <c r="B29" s="76">
        <f>SUM(B4:B28)</f>
        <v>0</v>
      </c>
      <c r="C29" s="76"/>
      <c r="D29" s="76">
        <f t="shared" ref="D29" si="1">SUM(D4:D28)</f>
        <v>0</v>
      </c>
      <c r="E29" s="77"/>
      <c r="F29" s="77"/>
      <c r="G29" s="40">
        <f>SUM(G4:G28)</f>
        <v>0</v>
      </c>
      <c r="H29" s="82"/>
    </row>
  </sheetData>
  <sheetProtection algorithmName="SHA-512" hashValue="9rgcX2sSqyYcJnk+1/L2pne1/c6kmZFoKv3q3/rgGsr+mklXNrwRGC88tGR6xBdhG6bFJoVTCEcT0rojmhFdgQ==" saltValue="2qU5bDIufRCBSpUPSizRWQ==" spinCount="100000" sheet="1" objects="1" scenarios="1"/>
  <protectedRanges>
    <protectedRange algorithmName="SHA-512" hashValue="MvmTLotpKiuRnedI3A4NjKJPVt4Aw8hcOvmE+D0rBMjM9TiU4ekXkprnHN0k9oVg0inb+CLcUsLFrJxBFcC6uw==" saltValue="93Zg0snhziumGVhjlXa2zg==" spinCount="100000" sqref="A4:A28 B29:D29" name="Range1"/>
    <protectedRange algorithmName="SHA-512" hashValue="MvmTLotpKiuRnedI3A4NjKJPVt4Aw8hcOvmE+D0rBMjM9TiU4ekXkprnHN0k9oVg0inb+CLcUsLFrJxBFcC6uw==" saltValue="93Zg0snhziumGVhjlXa2zg==" spinCount="100000" sqref="B4:C28" name="Range1_1"/>
  </protectedRanges>
  <phoneticPr fontId="9" type="noConversion"/>
  <dataValidations count="4">
    <dataValidation type="decimal" operator="greaterThanOrEqual" allowBlank="1" showErrorMessage="1" prompt="Please enter area in hectares." sqref="B4:B28" xr:uid="{217E3FA1-1BB8-45C3-9D2C-1D4956B28508}">
      <formula1>0</formula1>
    </dataValidation>
    <dataValidation type="decimal" allowBlank="1" showErrorMessage="1" prompt="Please enter area in hectares." sqref="C4:C28" xr:uid="{FBC78870-43D9-4EA6-A174-BF01D3A5A955}">
      <formula1>0</formula1>
      <formula2>100</formula2>
    </dataValidation>
    <dataValidation allowBlank="1" showErrorMessage="1" prompt="Please enter area in hectares." sqref="B29:D29" xr:uid="{4F17A0C8-BADF-4DA8-A067-4ABBCFF91399}"/>
    <dataValidation type="decimal" allowBlank="1" showErrorMessage="1" sqref="F4:F28" xr:uid="{71280BD0-17E2-4B70-8A1F-A9E40789C1E4}">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_xlfn.ANCHORARRAY(Value_look_up_tables!$A$204)</xm:f>
          </x14:formula1>
          <xm:sqref>A4:A28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16"/>
  <sheetViews>
    <sheetView zoomScaleNormal="100" workbookViewId="0"/>
  </sheetViews>
  <sheetFormatPr defaultColWidth="9.140625" defaultRowHeight="14.25"/>
  <cols>
    <col min="1" max="1" width="80.5703125" style="41" customWidth="1"/>
    <col min="2" max="4" width="40.5703125" style="41" customWidth="1"/>
    <col min="5" max="466" width="8.5703125" style="41" customWidth="1"/>
    <col min="467" max="16384" width="9.140625" style="41"/>
  </cols>
  <sheetData>
    <row r="1" spans="1:4" ht="30">
      <c r="A1" s="56" t="s">
        <v>109</v>
      </c>
      <c r="B1" s="57"/>
      <c r="C1" s="65"/>
    </row>
    <row r="2" spans="1:4" ht="105" customHeight="1">
      <c r="A2" s="3" t="s">
        <v>110</v>
      </c>
      <c r="B2" s="58"/>
      <c r="C2" s="3"/>
      <c r="D2" s="3"/>
    </row>
    <row r="3" spans="1:4" ht="59.1" customHeight="1">
      <c r="A3" s="23" t="s">
        <v>111</v>
      </c>
      <c r="B3" s="44"/>
      <c r="C3" s="3"/>
      <c r="D3" s="3"/>
    </row>
    <row r="4" spans="1:4" ht="22.5" customHeight="1">
      <c r="A4" s="63" t="s">
        <v>78</v>
      </c>
      <c r="B4" s="66" t="s">
        <v>79</v>
      </c>
    </row>
    <row r="5" spans="1:4" ht="22.5" customHeight="1">
      <c r="A5" s="36" t="s">
        <v>112</v>
      </c>
      <c r="B5" s="67" t="str">
        <f>Nutrients_from_wastewater!B18</f>
        <v/>
      </c>
    </row>
    <row r="6" spans="1:4" ht="22.5" customHeight="1">
      <c r="A6" s="9" t="s">
        <v>113</v>
      </c>
      <c r="B6" s="60">
        <f>IFERROR(Nutrients_from_future_land_use!C22-SuDS!G29-Nutrients_from_current_land_use!C28,"")</f>
        <v>0</v>
      </c>
    </row>
    <row r="7" spans="1:4" ht="22.5" customHeight="1">
      <c r="A7" s="9" t="s">
        <v>114</v>
      </c>
      <c r="B7" s="60" t="str">
        <f>IFERROR(B5+B6,"")</f>
        <v/>
      </c>
    </row>
    <row r="8" spans="1:4" ht="22.5" customHeight="1">
      <c r="A8" s="9" t="s">
        <v>115</v>
      </c>
      <c r="B8" s="60" t="str">
        <f>IFERROR(IF(B7&lt;0,B7,B7*1.2),"")</f>
        <v/>
      </c>
    </row>
    <row r="9" spans="1:4" ht="22.5" customHeight="1">
      <c r="A9" s="59" t="str">
        <f>IFERROR(IF(AND(Nutrients_from_wastewater!$B$5&lt;DATE(2025,1,1),OR((VLOOKUP(Nutrients_from_wastewater!$B$9,Value_look_up_tables!$A$5:$E$9,2,FALSE))&gt;(VLOOKUP(Nutrients_from_wastewater!$B$9,Value_look_up_tables!$A$5:$E$9,3,FALSE)),(VLOOKUP(Nutrients_from_wastewater!$B$9,Value_look_up_tables!$A$5:$E$9,2,FALSE))&gt;(VLOOKUP(Nutrients_from_wastewater!$B$9,Value_look_up_tables!$A$5:$E$9,3,FALSE)))),"Post-2030 Annual Nutrient Budget","Annual Nutrient Budget"),"")</f>
        <v/>
      </c>
      <c r="B9" s="87"/>
    </row>
    <row r="10" spans="1:4" ht="22.5" customHeight="1">
      <c r="A10" s="36" t="s">
        <v>116</v>
      </c>
      <c r="B10" s="60" t="str">
        <f>IFERROR(IF(ROUND(B8,2)&lt;0,0,ROUND(B8,2)),"")</f>
        <v/>
      </c>
    </row>
    <row r="11" spans="1:4" ht="22.5" customHeight="1">
      <c r="A11" s="59" t="str">
        <f>IF(Nutrients_from_wastewater!A19="","",IF(LEFT(Nutrients_from_wastewater!A19,9)="Pre-2030 ",LEFT(Nutrients_from_wastewater!A19,9),LEFT(Nutrients_from_wastewater!A19,10))&amp;"Nutrient Budget")</f>
        <v/>
      </c>
      <c r="B11" s="87"/>
    </row>
    <row r="12" spans="1:4" ht="22.5" customHeight="1">
      <c r="A12" s="36" t="str">
        <f>IF(A11&lt;&gt;"","The total annual phosphorus load to mitigate is (kg TP/yr):","")</f>
        <v/>
      </c>
      <c r="B12" s="109" t="str">
        <f>IF(IFERROR(ROUND((Nutrients_from_wastewater!B20+$B$6)*1.2,2),"")&lt;0,0,IFERROR(ROUND((Nutrients_from_wastewater!B20+$B$6)*1.2,2),""))</f>
        <v/>
      </c>
    </row>
    <row r="13" spans="1:4" ht="22.5" customHeight="1">
      <c r="A13" s="59" t="str">
        <f>IF(Nutrients_from_wastewater!A21="","",LEFT(Nutrients_from_wastewater!A21,9)&amp;"Nutrient Budget")</f>
        <v/>
      </c>
      <c r="B13" s="87"/>
    </row>
    <row r="14" spans="1:4" ht="22.5" customHeight="1">
      <c r="A14" s="61" t="str">
        <f>IF(A13&lt;&gt;"","The total annual phosphorus load to mitigate is (kg TP/yr):","")</f>
        <v/>
      </c>
      <c r="B14" s="109" t="str">
        <f>IF(IFERROR(IF(Nutrients_from_wastewater!$A$21="","",ROUND((Nutrients_from_wastewater!B22+$B$6)*1.2,2)),IFERROR(B12,""))&lt;0,0,IFERROR(IF(Nutrients_from_wastewater!$A$21="","",ROUND((Nutrients_from_wastewater!B22+$B$6)*1.2,2)),IFERROR(B12,"")))</f>
        <v/>
      </c>
    </row>
    <row r="15" spans="1:4" ht="22.5" customHeight="1">
      <c r="A15" s="62"/>
      <c r="B15" s="40"/>
    </row>
    <row r="16" spans="1:4" ht="15.75">
      <c r="A16" s="62"/>
      <c r="B16" s="40"/>
      <c r="C16" s="44"/>
    </row>
  </sheetData>
  <sheetProtection algorithmName="SHA-512" hashValue="zEzt3T90LTMajtQi0SvMLV2msdBaIioG27kMVSh7wvCpHPBvPvxdmM3yd/6Pk/3C32/H9Er7qGsnQMnqw4RunQ==" saltValue="1RFsczjjUbEXYUj1huoO1Q=="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204"/>
  <sheetViews>
    <sheetView zoomScaleNormal="100" workbookViewId="0"/>
  </sheetViews>
  <sheetFormatPr defaultColWidth="65.42578125" defaultRowHeight="14.25"/>
  <cols>
    <col min="1" max="1" width="41" style="94" customWidth="1"/>
    <col min="2" max="4" width="15.7109375" style="94" customWidth="1"/>
    <col min="5" max="5" width="25.7109375" style="94" customWidth="1"/>
    <col min="6" max="6" width="79.85546875" style="94" customWidth="1"/>
    <col min="7" max="8" width="15.7109375" style="94" customWidth="1"/>
    <col min="9" max="9" width="25.7109375" style="94" customWidth="1"/>
    <col min="10" max="13" width="15.7109375" style="94" customWidth="1"/>
    <col min="14" max="16384" width="65.42578125" style="94"/>
  </cols>
  <sheetData>
    <row r="1" spans="1:14" ht="46.5">
      <c r="A1" s="101" t="s">
        <v>11</v>
      </c>
      <c r="B1" s="103"/>
      <c r="C1" s="103"/>
      <c r="D1" s="103"/>
      <c r="E1" s="103"/>
      <c r="F1" s="103"/>
      <c r="G1" s="103"/>
      <c r="H1" s="103"/>
      <c r="I1" s="103"/>
      <c r="J1" s="103"/>
      <c r="K1" s="103"/>
      <c r="L1" s="103"/>
      <c r="M1" s="103"/>
      <c r="N1" s="103"/>
    </row>
    <row r="2" spans="1:14" ht="48" customHeight="1">
      <c r="A2" s="102" t="s">
        <v>117</v>
      </c>
    </row>
    <row r="3" spans="1:14" ht="28.5" customHeight="1">
      <c r="A3" s="23" t="s">
        <v>118</v>
      </c>
    </row>
    <row r="4" spans="1:14" ht="75.75" customHeight="1">
      <c r="A4" s="26" t="s">
        <v>119</v>
      </c>
      <c r="B4" s="26" t="s">
        <v>120</v>
      </c>
      <c r="C4" s="26" t="s">
        <v>121</v>
      </c>
      <c r="D4" s="26" t="s">
        <v>122</v>
      </c>
      <c r="E4" s="26"/>
      <c r="F4" s="62"/>
      <c r="G4" s="62"/>
      <c r="H4" s="26"/>
      <c r="I4" s="26"/>
      <c r="J4" s="62"/>
      <c r="L4" s="41"/>
      <c r="M4" s="41"/>
    </row>
    <row r="5" spans="1:14">
      <c r="A5" s="41" t="s">
        <v>123</v>
      </c>
      <c r="B5" s="41">
        <v>8</v>
      </c>
      <c r="C5" s="41">
        <v>8</v>
      </c>
      <c r="D5" s="41">
        <v>8</v>
      </c>
      <c r="E5" s="41"/>
      <c r="F5" s="41"/>
      <c r="G5" s="41"/>
      <c r="H5" s="41"/>
      <c r="I5" s="41"/>
      <c r="J5" s="41"/>
      <c r="L5" s="41"/>
      <c r="M5" s="41"/>
    </row>
    <row r="6" spans="1:14">
      <c r="A6" s="41" t="s">
        <v>124</v>
      </c>
      <c r="B6" s="41">
        <v>8</v>
      </c>
      <c r="C6" s="41">
        <v>8</v>
      </c>
      <c r="D6" s="41">
        <v>8</v>
      </c>
      <c r="E6" s="41"/>
      <c r="F6" s="41"/>
      <c r="G6" s="41"/>
      <c r="H6" s="41"/>
      <c r="I6" s="41"/>
      <c r="J6" s="41"/>
      <c r="L6" s="41"/>
      <c r="M6" s="41"/>
    </row>
    <row r="7" spans="1:14">
      <c r="A7" s="41" t="s">
        <v>125</v>
      </c>
      <c r="B7" s="41">
        <v>8</v>
      </c>
      <c r="C7" s="41">
        <v>8</v>
      </c>
      <c r="D7" s="41">
        <v>0.25</v>
      </c>
      <c r="E7" s="41"/>
      <c r="F7" s="41"/>
      <c r="G7" s="41"/>
      <c r="H7" s="41"/>
      <c r="I7" s="41"/>
      <c r="J7" s="41"/>
      <c r="L7" s="41"/>
      <c r="M7" s="41"/>
    </row>
    <row r="8" spans="1:14">
      <c r="A8" s="41" t="s">
        <v>126</v>
      </c>
      <c r="B8" s="41">
        <v>9.6999999999999993</v>
      </c>
      <c r="C8" s="41">
        <v>9.6999999999999993</v>
      </c>
      <c r="D8" s="41">
        <v>9.6999999999999993</v>
      </c>
      <c r="E8" s="41"/>
      <c r="F8" s="41"/>
      <c r="G8" s="41"/>
      <c r="H8" s="41"/>
      <c r="I8" s="41"/>
      <c r="J8" s="41"/>
      <c r="L8" s="41"/>
      <c r="M8" s="41"/>
    </row>
    <row r="9" spans="1:14">
      <c r="A9" s="41" t="s">
        <v>127</v>
      </c>
      <c r="B9" s="41">
        <v>11.6</v>
      </c>
      <c r="C9" s="41">
        <v>11.6</v>
      </c>
      <c r="D9" s="41">
        <v>11.6</v>
      </c>
      <c r="E9" s="41"/>
      <c r="F9" s="41"/>
      <c r="G9" s="41"/>
      <c r="H9" s="41"/>
      <c r="I9" s="41"/>
      <c r="J9" s="41"/>
      <c r="L9" s="41"/>
      <c r="M9" s="41"/>
    </row>
    <row r="10" spans="1:14">
      <c r="A10" s="41" t="s">
        <v>128</v>
      </c>
      <c r="B10" s="41"/>
      <c r="C10" s="41"/>
      <c r="D10" s="41"/>
      <c r="E10" s="41"/>
      <c r="F10" s="41"/>
      <c r="G10" s="41"/>
      <c r="H10" s="41"/>
      <c r="I10" s="41"/>
      <c r="J10" s="41"/>
      <c r="L10" s="41"/>
      <c r="M10" s="41"/>
    </row>
    <row r="11" spans="1:14">
      <c r="A11" s="41" t="s">
        <v>129</v>
      </c>
      <c r="B11" s="41"/>
      <c r="C11" s="41"/>
      <c r="D11" s="41"/>
      <c r="E11" s="41"/>
      <c r="F11" s="41"/>
      <c r="G11" s="41"/>
      <c r="H11" s="41"/>
      <c r="I11" s="41"/>
      <c r="J11" s="41"/>
      <c r="L11" s="41"/>
      <c r="M11" s="41"/>
    </row>
    <row r="12" spans="1:14">
      <c r="A12" s="41"/>
      <c r="B12" s="41"/>
      <c r="C12" s="41"/>
      <c r="D12" s="41"/>
      <c r="E12" s="41"/>
      <c r="F12" s="41"/>
      <c r="G12" s="41"/>
      <c r="H12" s="41"/>
      <c r="I12" s="41"/>
      <c r="J12" s="41"/>
      <c r="K12" s="41"/>
      <c r="L12" s="41"/>
      <c r="M12" s="41"/>
    </row>
    <row r="13" spans="1:14" ht="36">
      <c r="A13" s="23" t="s">
        <v>130</v>
      </c>
      <c r="B13" s="41"/>
      <c r="C13" s="41"/>
      <c r="D13" s="41"/>
      <c r="E13" s="41"/>
      <c r="F13" s="41"/>
      <c r="G13" s="41"/>
      <c r="H13" s="41"/>
      <c r="I13" s="41"/>
      <c r="J13" s="41"/>
      <c r="K13" s="41"/>
      <c r="L13" s="41"/>
      <c r="M13" s="41"/>
    </row>
    <row r="14" spans="1:14" ht="75">
      <c r="A14" s="26" t="s">
        <v>131</v>
      </c>
      <c r="B14" s="26" t="s">
        <v>132</v>
      </c>
      <c r="C14" s="26" t="s">
        <v>133</v>
      </c>
      <c r="D14" s="26" t="s">
        <v>134</v>
      </c>
      <c r="E14" s="26" t="s">
        <v>135</v>
      </c>
      <c r="F14" s="26" t="s">
        <v>136</v>
      </c>
      <c r="G14" s="26" t="s">
        <v>137</v>
      </c>
      <c r="H14" s="26" t="s">
        <v>138</v>
      </c>
      <c r="I14" s="26" t="s">
        <v>139</v>
      </c>
      <c r="J14" s="26" t="s">
        <v>140</v>
      </c>
      <c r="K14" s="26" t="s">
        <v>141</v>
      </c>
      <c r="L14" s="26" t="s">
        <v>142</v>
      </c>
      <c r="M14" s="26" t="s">
        <v>143</v>
      </c>
    </row>
    <row r="15" spans="1:14">
      <c r="A15" s="95" t="s">
        <v>144</v>
      </c>
      <c r="B15" s="95" t="s">
        <v>145</v>
      </c>
      <c r="C15" s="95" t="b">
        <v>0</v>
      </c>
      <c r="D15" s="95" t="s">
        <v>146</v>
      </c>
      <c r="E15" s="95" t="s">
        <v>147</v>
      </c>
      <c r="F15" s="41" t="s">
        <v>148</v>
      </c>
      <c r="G15" s="96"/>
      <c r="H15" s="96">
        <v>0.14321867471546307</v>
      </c>
      <c r="I15" s="41" t="s">
        <v>149</v>
      </c>
      <c r="J15" s="41"/>
      <c r="K15" s="96">
        <v>0.24713085990245762</v>
      </c>
      <c r="L15" s="41"/>
      <c r="M15" s="96">
        <v>0.51145028293621886</v>
      </c>
    </row>
    <row r="16" spans="1:14">
      <c r="A16" s="95" t="s">
        <v>144</v>
      </c>
      <c r="B16" s="95" t="s">
        <v>145</v>
      </c>
      <c r="C16" s="95" t="b">
        <v>0</v>
      </c>
      <c r="D16" s="95" t="s">
        <v>146</v>
      </c>
      <c r="E16" s="95" t="s">
        <v>150</v>
      </c>
      <c r="F16" s="41" t="s">
        <v>151</v>
      </c>
      <c r="G16" s="96"/>
      <c r="H16" s="96">
        <v>0.35104304508945217</v>
      </c>
      <c r="I16" s="41" t="s">
        <v>149</v>
      </c>
      <c r="J16" s="41"/>
      <c r="K16" s="96"/>
      <c r="L16" s="41"/>
      <c r="M16" s="96"/>
    </row>
    <row r="17" spans="1:13">
      <c r="A17" s="95" t="s">
        <v>144</v>
      </c>
      <c r="B17" s="95" t="s">
        <v>145</v>
      </c>
      <c r="C17" s="95" t="b">
        <v>0</v>
      </c>
      <c r="D17" s="95" t="s">
        <v>152</v>
      </c>
      <c r="E17" s="95" t="s">
        <v>147</v>
      </c>
      <c r="F17" s="41" t="s">
        <v>153</v>
      </c>
      <c r="G17" s="96"/>
      <c r="H17" s="96">
        <v>0.21678983645368044</v>
      </c>
      <c r="I17" s="41" t="s">
        <v>154</v>
      </c>
      <c r="J17" s="41"/>
      <c r="K17" s="96">
        <v>0.64754446933694731</v>
      </c>
      <c r="L17" s="41"/>
      <c r="M17" s="96"/>
    </row>
    <row r="18" spans="1:13">
      <c r="A18" s="95" t="s">
        <v>144</v>
      </c>
      <c r="B18" s="95" t="s">
        <v>145</v>
      </c>
      <c r="C18" s="95" t="b">
        <v>0</v>
      </c>
      <c r="D18" s="95" t="s">
        <v>152</v>
      </c>
      <c r="E18" s="95" t="s">
        <v>150</v>
      </c>
      <c r="F18" s="41" t="s">
        <v>155</v>
      </c>
      <c r="G18" s="96"/>
      <c r="H18" s="96">
        <v>0.57824213678313829</v>
      </c>
      <c r="I18" s="41" t="s">
        <v>154</v>
      </c>
      <c r="J18" s="41"/>
      <c r="K18" s="96"/>
      <c r="L18" s="41"/>
      <c r="M18" s="96"/>
    </row>
    <row r="19" spans="1:13">
      <c r="A19" s="95" t="s">
        <v>144</v>
      </c>
      <c r="B19" s="95" t="s">
        <v>145</v>
      </c>
      <c r="C19" s="95" t="b">
        <v>0</v>
      </c>
      <c r="D19" s="95" t="s">
        <v>152</v>
      </c>
      <c r="E19" s="95" t="s">
        <v>156</v>
      </c>
      <c r="F19" s="41" t="s">
        <v>157</v>
      </c>
      <c r="G19" s="96"/>
      <c r="H19" s="96">
        <v>1.1476014347740231</v>
      </c>
      <c r="I19" s="41" t="s">
        <v>154</v>
      </c>
      <c r="J19" s="41"/>
      <c r="K19" s="96"/>
      <c r="L19" s="41"/>
      <c r="M19" s="96"/>
    </row>
    <row r="20" spans="1:13">
      <c r="A20" s="95" t="s">
        <v>144</v>
      </c>
      <c r="B20" s="95" t="s">
        <v>145</v>
      </c>
      <c r="C20" s="95" t="b">
        <v>0</v>
      </c>
      <c r="D20" s="95" t="s">
        <v>158</v>
      </c>
      <c r="E20" s="95" t="s">
        <v>147</v>
      </c>
      <c r="F20" s="41" t="s">
        <v>159</v>
      </c>
      <c r="G20" s="96"/>
      <c r="H20" s="96">
        <v>0.37472400079999973</v>
      </c>
      <c r="I20" s="41" t="s">
        <v>160</v>
      </c>
      <c r="J20" s="41"/>
      <c r="K20" s="96">
        <v>0.57162842636888755</v>
      </c>
      <c r="L20" s="41"/>
      <c r="M20" s="96"/>
    </row>
    <row r="21" spans="1:13">
      <c r="A21" s="95" t="s">
        <v>144</v>
      </c>
      <c r="B21" s="95" t="s">
        <v>145</v>
      </c>
      <c r="C21" s="95" t="b">
        <v>0</v>
      </c>
      <c r="D21" s="95" t="s">
        <v>158</v>
      </c>
      <c r="E21" s="95" t="s">
        <v>150</v>
      </c>
      <c r="F21" s="41" t="s">
        <v>161</v>
      </c>
      <c r="G21" s="96"/>
      <c r="H21" s="96">
        <v>0.76853285193777543</v>
      </c>
      <c r="I21" s="41" t="s">
        <v>160</v>
      </c>
      <c r="J21" s="41"/>
      <c r="K21" s="96"/>
      <c r="L21" s="41"/>
      <c r="M21" s="96"/>
    </row>
    <row r="22" spans="1:13">
      <c r="A22" s="95" t="s">
        <v>144</v>
      </c>
      <c r="B22" s="95" t="s">
        <v>162</v>
      </c>
      <c r="C22" s="95" t="b">
        <v>0</v>
      </c>
      <c r="D22" s="95" t="s">
        <v>146</v>
      </c>
      <c r="E22" s="95" t="s">
        <v>147</v>
      </c>
      <c r="F22" s="41" t="s">
        <v>163</v>
      </c>
      <c r="G22" s="96"/>
      <c r="H22" s="96">
        <v>0.16532382095442105</v>
      </c>
      <c r="I22" s="41" t="s">
        <v>164</v>
      </c>
      <c r="J22" s="41"/>
      <c r="K22" s="96">
        <v>0.16532382095442105</v>
      </c>
      <c r="L22" s="41"/>
      <c r="M22" s="96">
        <v>0.59657877176580598</v>
      </c>
    </row>
    <row r="23" spans="1:13">
      <c r="A23" s="95" t="s">
        <v>144</v>
      </c>
      <c r="B23" s="95" t="s">
        <v>162</v>
      </c>
      <c r="C23" s="95" t="b">
        <v>0</v>
      </c>
      <c r="D23" s="95" t="s">
        <v>152</v>
      </c>
      <c r="E23" s="95" t="s">
        <v>147</v>
      </c>
      <c r="F23" s="41" t="s">
        <v>165</v>
      </c>
      <c r="G23" s="96"/>
      <c r="H23" s="96">
        <v>0.25225918984666462</v>
      </c>
      <c r="I23" s="41" t="s">
        <v>166</v>
      </c>
      <c r="J23" s="41"/>
      <c r="K23" s="96">
        <v>0.58368530868363511</v>
      </c>
      <c r="L23" s="41"/>
      <c r="M23" s="96"/>
    </row>
    <row r="24" spans="1:13">
      <c r="A24" s="95" t="s">
        <v>144</v>
      </c>
      <c r="B24" s="95" t="s">
        <v>162</v>
      </c>
      <c r="C24" s="95" t="b">
        <v>0</v>
      </c>
      <c r="D24" s="95" t="s">
        <v>152</v>
      </c>
      <c r="E24" s="95" t="s">
        <v>150</v>
      </c>
      <c r="F24" s="41" t="s">
        <v>167</v>
      </c>
      <c r="G24" s="96"/>
      <c r="H24" s="96">
        <v>0.91511142752060548</v>
      </c>
      <c r="I24" s="41" t="s">
        <v>166</v>
      </c>
      <c r="J24" s="41"/>
      <c r="K24" s="96"/>
      <c r="L24" s="41"/>
      <c r="M24" s="96"/>
    </row>
    <row r="25" spans="1:13">
      <c r="A25" s="95" t="s">
        <v>144</v>
      </c>
      <c r="B25" s="95" t="s">
        <v>162</v>
      </c>
      <c r="C25" s="95" t="b">
        <v>0</v>
      </c>
      <c r="D25" s="95" t="s">
        <v>158</v>
      </c>
      <c r="E25" s="95" t="s">
        <v>147</v>
      </c>
      <c r="F25" s="41" t="s">
        <v>168</v>
      </c>
      <c r="G25" s="96"/>
      <c r="H25" s="96">
        <v>0.45710693001772124</v>
      </c>
      <c r="I25" s="41" t="s">
        <v>169</v>
      </c>
      <c r="J25" s="41"/>
      <c r="K25" s="96">
        <v>0.82509971025366935</v>
      </c>
      <c r="L25" s="41"/>
      <c r="M25" s="96"/>
    </row>
    <row r="26" spans="1:13">
      <c r="A26" s="95" t="s">
        <v>144</v>
      </c>
      <c r="B26" s="95" t="s">
        <v>162</v>
      </c>
      <c r="C26" s="95" t="b">
        <v>0</v>
      </c>
      <c r="D26" s="95" t="s">
        <v>158</v>
      </c>
      <c r="E26" s="95" t="s">
        <v>150</v>
      </c>
      <c r="F26" s="41" t="s">
        <v>170</v>
      </c>
      <c r="G26" s="96"/>
      <c r="H26" s="96">
        <v>1.1930924904896174</v>
      </c>
      <c r="I26" s="41" t="s">
        <v>169</v>
      </c>
      <c r="J26" s="41"/>
      <c r="K26" s="96"/>
      <c r="L26" s="41"/>
      <c r="M26" s="96"/>
    </row>
    <row r="27" spans="1:13">
      <c r="A27" s="95" t="s">
        <v>144</v>
      </c>
      <c r="B27" s="95" t="s">
        <v>171</v>
      </c>
      <c r="C27" s="95" t="b">
        <v>0</v>
      </c>
      <c r="D27" s="95" t="s">
        <v>146</v>
      </c>
      <c r="E27" s="95" t="s">
        <v>147</v>
      </c>
      <c r="F27" s="41" t="s">
        <v>172</v>
      </c>
      <c r="G27" s="96"/>
      <c r="H27" s="96">
        <v>0.37547706047695001</v>
      </c>
      <c r="I27" s="41" t="s">
        <v>173</v>
      </c>
      <c r="J27" s="41"/>
      <c r="K27" s="96">
        <v>0.48172128640986112</v>
      </c>
      <c r="L27" s="41"/>
      <c r="M27" s="96">
        <v>0.66523710847947048</v>
      </c>
    </row>
    <row r="28" spans="1:13">
      <c r="A28" s="95" t="s">
        <v>144</v>
      </c>
      <c r="B28" s="95" t="s">
        <v>171</v>
      </c>
      <c r="C28" s="95" t="b">
        <v>0</v>
      </c>
      <c r="D28" s="95" t="s">
        <v>146</v>
      </c>
      <c r="E28" s="95" t="s">
        <v>150</v>
      </c>
      <c r="F28" s="41" t="s">
        <v>174</v>
      </c>
      <c r="G28" s="96"/>
      <c r="H28" s="96">
        <v>0.58796551234277228</v>
      </c>
      <c r="I28" s="41" t="s">
        <v>173</v>
      </c>
      <c r="J28" s="41"/>
      <c r="K28" s="96"/>
      <c r="L28" s="41"/>
      <c r="M28" s="96"/>
    </row>
    <row r="29" spans="1:13">
      <c r="A29" s="95" t="s">
        <v>144</v>
      </c>
      <c r="B29" s="95" t="s">
        <v>171</v>
      </c>
      <c r="C29" s="95" t="b">
        <v>0</v>
      </c>
      <c r="D29" s="95" t="s">
        <v>152</v>
      </c>
      <c r="E29" s="95" t="s">
        <v>147</v>
      </c>
      <c r="F29" s="41" t="s">
        <v>175</v>
      </c>
      <c r="G29" s="96"/>
      <c r="H29" s="96">
        <v>0.46737755134275311</v>
      </c>
      <c r="I29" s="41" t="s">
        <v>176</v>
      </c>
      <c r="J29" s="41"/>
      <c r="K29" s="96">
        <v>0.46737755134275311</v>
      </c>
      <c r="L29" s="41"/>
      <c r="M29" s="96"/>
    </row>
    <row r="30" spans="1:13">
      <c r="A30" s="95" t="s">
        <v>144</v>
      </c>
      <c r="B30" s="95" t="s">
        <v>171</v>
      </c>
      <c r="C30" s="95" t="b">
        <v>0</v>
      </c>
      <c r="D30" s="95" t="s">
        <v>158</v>
      </c>
      <c r="E30" s="95" t="s">
        <v>147</v>
      </c>
      <c r="F30" s="41" t="s">
        <v>177</v>
      </c>
      <c r="G30" s="96"/>
      <c r="H30" s="96">
        <v>0.76504996730508423</v>
      </c>
      <c r="I30" s="41" t="s">
        <v>178</v>
      </c>
      <c r="J30" s="41"/>
      <c r="K30" s="96">
        <v>0.94768270911743868</v>
      </c>
      <c r="L30" s="41"/>
      <c r="M30" s="96"/>
    </row>
    <row r="31" spans="1:13">
      <c r="A31" s="95" t="s">
        <v>144</v>
      </c>
      <c r="B31" s="95" t="s">
        <v>171</v>
      </c>
      <c r="C31" s="95" t="b">
        <v>0</v>
      </c>
      <c r="D31" s="95" t="s">
        <v>158</v>
      </c>
      <c r="E31" s="95" t="s">
        <v>150</v>
      </c>
      <c r="F31" s="41" t="s">
        <v>179</v>
      </c>
      <c r="G31" s="96"/>
      <c r="H31" s="96">
        <v>1.1303154509297932</v>
      </c>
      <c r="I31" s="41" t="s">
        <v>178</v>
      </c>
      <c r="J31" s="41"/>
      <c r="K31" s="96"/>
      <c r="L31" s="41"/>
      <c r="M31" s="96"/>
    </row>
    <row r="32" spans="1:13">
      <c r="A32" s="95" t="s">
        <v>144</v>
      </c>
      <c r="B32" s="95" t="s">
        <v>180</v>
      </c>
      <c r="C32" s="95" t="b">
        <v>0</v>
      </c>
      <c r="D32" s="95" t="s">
        <v>146</v>
      </c>
      <c r="E32" s="95" t="s">
        <v>147</v>
      </c>
      <c r="F32" s="41" t="s">
        <v>181</v>
      </c>
      <c r="G32" s="96"/>
      <c r="H32" s="96">
        <v>0.27949652801967789</v>
      </c>
      <c r="I32" s="41" t="s">
        <v>182</v>
      </c>
      <c r="J32" s="41"/>
      <c r="K32" s="96">
        <v>0.31735344296801071</v>
      </c>
      <c r="L32" s="41"/>
      <c r="M32" s="96">
        <v>0.44106719390402344</v>
      </c>
    </row>
    <row r="33" spans="1:14">
      <c r="A33" s="95" t="s">
        <v>144</v>
      </c>
      <c r="B33" s="95" t="s">
        <v>180</v>
      </c>
      <c r="C33" s="95" t="b">
        <v>0</v>
      </c>
      <c r="D33" s="95" t="s">
        <v>146</v>
      </c>
      <c r="E33" s="95" t="s">
        <v>150</v>
      </c>
      <c r="F33" s="41" t="s">
        <v>183</v>
      </c>
      <c r="G33" s="96"/>
      <c r="H33" s="96">
        <v>0.35521035791634359</v>
      </c>
      <c r="I33" s="41" t="s">
        <v>182</v>
      </c>
      <c r="J33" s="41"/>
      <c r="K33" s="96"/>
      <c r="L33" s="41"/>
      <c r="M33" s="96"/>
      <c r="N33" s="41"/>
    </row>
    <row r="34" spans="1:14">
      <c r="A34" s="95" t="s">
        <v>144</v>
      </c>
      <c r="B34" s="95" t="s">
        <v>180</v>
      </c>
      <c r="C34" s="95" t="b">
        <v>0</v>
      </c>
      <c r="D34" s="95" t="s">
        <v>152</v>
      </c>
      <c r="E34" s="95" t="s">
        <v>147</v>
      </c>
      <c r="F34" s="41" t="s">
        <v>184</v>
      </c>
      <c r="G34" s="96"/>
      <c r="H34" s="96">
        <v>0.35516471788753634</v>
      </c>
      <c r="I34" s="41" t="s">
        <v>185</v>
      </c>
      <c r="J34" s="41"/>
      <c r="K34" s="96">
        <v>0.43711745796076051</v>
      </c>
      <c r="L34" s="41"/>
      <c r="M34" s="96"/>
      <c r="N34" s="41"/>
    </row>
    <row r="35" spans="1:14">
      <c r="A35" s="95" t="s">
        <v>144</v>
      </c>
      <c r="B35" s="95" t="s">
        <v>180</v>
      </c>
      <c r="C35" s="95" t="b">
        <v>0</v>
      </c>
      <c r="D35" s="95" t="s">
        <v>152</v>
      </c>
      <c r="E35" s="95" t="s">
        <v>150</v>
      </c>
      <c r="F35" s="41" t="s">
        <v>186</v>
      </c>
      <c r="G35" s="96"/>
      <c r="H35" s="96">
        <v>0.51907019803398469</v>
      </c>
      <c r="I35" s="41" t="s">
        <v>185</v>
      </c>
      <c r="J35" s="41"/>
      <c r="K35" s="96"/>
      <c r="L35" s="41"/>
      <c r="M35" s="96"/>
      <c r="N35" s="41"/>
    </row>
    <row r="36" spans="1:14">
      <c r="A36" s="95" t="s">
        <v>144</v>
      </c>
      <c r="B36" s="95" t="s">
        <v>180</v>
      </c>
      <c r="C36" s="95" t="b">
        <v>0</v>
      </c>
      <c r="D36" s="95" t="s">
        <v>158</v>
      </c>
      <c r="E36" s="95" t="s">
        <v>147</v>
      </c>
      <c r="F36" s="41" t="s">
        <v>187</v>
      </c>
      <c r="G36" s="96"/>
      <c r="H36" s="96">
        <v>0.50817735402177577</v>
      </c>
      <c r="I36" s="41" t="s">
        <v>188</v>
      </c>
      <c r="J36" s="41"/>
      <c r="K36" s="96">
        <v>0.56873068078329903</v>
      </c>
      <c r="L36" s="41"/>
      <c r="M36" s="96"/>
      <c r="N36" s="41"/>
    </row>
    <row r="37" spans="1:14">
      <c r="A37" s="95" t="s">
        <v>144</v>
      </c>
      <c r="B37" s="95" t="s">
        <v>180</v>
      </c>
      <c r="C37" s="95" t="b">
        <v>0</v>
      </c>
      <c r="D37" s="95" t="s">
        <v>158</v>
      </c>
      <c r="E37" s="95" t="s">
        <v>150</v>
      </c>
      <c r="F37" s="41" t="s">
        <v>189</v>
      </c>
      <c r="G37" s="96"/>
      <c r="H37" s="96">
        <v>0.62928400754482217</v>
      </c>
      <c r="I37" s="41" t="s">
        <v>188</v>
      </c>
      <c r="J37" s="41"/>
      <c r="K37" s="96"/>
      <c r="L37" s="41"/>
      <c r="M37" s="96"/>
      <c r="N37" s="41"/>
    </row>
    <row r="38" spans="1:14">
      <c r="A38" s="95" t="s">
        <v>144</v>
      </c>
      <c r="B38" s="95" t="s">
        <v>190</v>
      </c>
      <c r="C38" s="95" t="b">
        <v>0</v>
      </c>
      <c r="D38" s="95" t="s">
        <v>146</v>
      </c>
      <c r="E38" s="95" t="s">
        <v>147</v>
      </c>
      <c r="F38" s="41" t="s">
        <v>191</v>
      </c>
      <c r="G38" s="96"/>
      <c r="H38" s="96">
        <v>0.15264754715972156</v>
      </c>
      <c r="I38" s="41" t="s">
        <v>192</v>
      </c>
      <c r="J38" s="41"/>
      <c r="K38" s="96">
        <v>0.16644124858221981</v>
      </c>
      <c r="L38" s="41"/>
      <c r="M38" s="96">
        <v>0.56795947887904752</v>
      </c>
      <c r="N38" s="41"/>
    </row>
    <row r="39" spans="1:14">
      <c r="A39" s="95" t="s">
        <v>144</v>
      </c>
      <c r="B39" s="95" t="s">
        <v>190</v>
      </c>
      <c r="C39" s="95" t="b">
        <v>0</v>
      </c>
      <c r="D39" s="95" t="s">
        <v>146</v>
      </c>
      <c r="E39" s="95" t="s">
        <v>150</v>
      </c>
      <c r="F39" s="41" t="s">
        <v>193</v>
      </c>
      <c r="G39" s="96"/>
      <c r="H39" s="96">
        <v>0.18023495000471806</v>
      </c>
      <c r="I39" s="41" t="s">
        <v>192</v>
      </c>
      <c r="J39" s="41"/>
      <c r="K39" s="96"/>
      <c r="L39" s="41"/>
      <c r="M39" s="96"/>
      <c r="N39" s="41"/>
    </row>
    <row r="40" spans="1:14">
      <c r="A40" s="95" t="s">
        <v>144</v>
      </c>
      <c r="B40" s="95" t="s">
        <v>190</v>
      </c>
      <c r="C40" s="95" t="b">
        <v>0</v>
      </c>
      <c r="D40" s="95" t="s">
        <v>152</v>
      </c>
      <c r="E40" s="95" t="s">
        <v>147</v>
      </c>
      <c r="F40" s="41" t="s">
        <v>194</v>
      </c>
      <c r="G40" s="96"/>
      <c r="H40" s="96">
        <v>0.21850867985099298</v>
      </c>
      <c r="I40" s="41" t="s">
        <v>195</v>
      </c>
      <c r="J40" s="41"/>
      <c r="K40" s="96">
        <v>0.56320191175644174</v>
      </c>
      <c r="L40" s="41"/>
      <c r="M40" s="96"/>
      <c r="N40" s="41"/>
    </row>
    <row r="41" spans="1:14">
      <c r="A41" s="95" t="s">
        <v>144</v>
      </c>
      <c r="B41" s="95" t="s">
        <v>190</v>
      </c>
      <c r="C41" s="95" t="b">
        <v>0</v>
      </c>
      <c r="D41" s="95" t="s">
        <v>152</v>
      </c>
      <c r="E41" s="95" t="s">
        <v>150</v>
      </c>
      <c r="F41" s="41" t="s">
        <v>196</v>
      </c>
      <c r="G41" s="96"/>
      <c r="H41" s="96">
        <v>0.28736042308050413</v>
      </c>
      <c r="I41" s="41" t="s">
        <v>195</v>
      </c>
      <c r="J41" s="41"/>
      <c r="K41" s="96"/>
      <c r="L41" s="41"/>
      <c r="M41" s="96"/>
      <c r="N41" s="41"/>
    </row>
    <row r="42" spans="1:14">
      <c r="A42" s="95" t="s">
        <v>144</v>
      </c>
      <c r="B42" s="95" t="s">
        <v>190</v>
      </c>
      <c r="C42" s="95" t="b">
        <v>0</v>
      </c>
      <c r="D42" s="95" t="s">
        <v>152</v>
      </c>
      <c r="E42" s="95" t="s">
        <v>156</v>
      </c>
      <c r="F42" s="41" t="s">
        <v>197</v>
      </c>
      <c r="G42" s="96"/>
      <c r="H42" s="96">
        <v>1.1837366323378282</v>
      </c>
      <c r="I42" s="41" t="s">
        <v>195</v>
      </c>
      <c r="J42" s="41"/>
      <c r="K42" s="96"/>
      <c r="L42" s="41"/>
      <c r="M42" s="96"/>
      <c r="N42" s="41"/>
    </row>
    <row r="43" spans="1:14">
      <c r="A43" s="95" t="s">
        <v>144</v>
      </c>
      <c r="B43" s="95" t="s">
        <v>190</v>
      </c>
      <c r="C43" s="95" t="b">
        <v>0</v>
      </c>
      <c r="D43" s="95" t="s">
        <v>158</v>
      </c>
      <c r="E43" s="95" t="s">
        <v>147</v>
      </c>
      <c r="F43" s="41" t="s">
        <v>198</v>
      </c>
      <c r="G43" s="96"/>
      <c r="H43" s="96">
        <v>0.34586017403220609</v>
      </c>
      <c r="I43" s="41" t="s">
        <v>199</v>
      </c>
      <c r="J43" s="41"/>
      <c r="K43" s="96">
        <v>0.84039586619953865</v>
      </c>
      <c r="L43" s="41"/>
      <c r="M43" s="96"/>
      <c r="N43" s="41"/>
    </row>
    <row r="44" spans="1:14">
      <c r="A44" s="95" t="s">
        <v>144</v>
      </c>
      <c r="B44" s="95" t="s">
        <v>190</v>
      </c>
      <c r="C44" s="95" t="b">
        <v>0</v>
      </c>
      <c r="D44" s="95" t="s">
        <v>158</v>
      </c>
      <c r="E44" s="95" t="s">
        <v>150</v>
      </c>
      <c r="F44" s="41" t="s">
        <v>200</v>
      </c>
      <c r="G44" s="96"/>
      <c r="H44" s="96">
        <v>0.38486299969588889</v>
      </c>
      <c r="I44" s="41" t="s">
        <v>199</v>
      </c>
      <c r="J44" s="41"/>
      <c r="K44" s="96"/>
      <c r="L44" s="41"/>
      <c r="M44" s="96"/>
      <c r="N44" s="41"/>
    </row>
    <row r="45" spans="1:14">
      <c r="A45" s="95" t="s">
        <v>144</v>
      </c>
      <c r="B45" s="95" t="s">
        <v>190</v>
      </c>
      <c r="C45" s="95" t="b">
        <v>0</v>
      </c>
      <c r="D45" s="95" t="s">
        <v>158</v>
      </c>
      <c r="E45" s="95" t="s">
        <v>156</v>
      </c>
      <c r="F45" s="41" t="s">
        <v>201</v>
      </c>
      <c r="G45" s="96"/>
      <c r="H45" s="96">
        <v>1.7904644248705208</v>
      </c>
      <c r="I45" s="41" t="s">
        <v>199</v>
      </c>
      <c r="J45" s="41"/>
      <c r="K45" s="96"/>
      <c r="L45" s="41"/>
      <c r="M45" s="96"/>
      <c r="N45" s="41"/>
    </row>
    <row r="46" spans="1:14">
      <c r="A46" s="95" t="s">
        <v>144</v>
      </c>
      <c r="B46" s="95" t="s">
        <v>202</v>
      </c>
      <c r="C46" s="95" t="b">
        <v>0</v>
      </c>
      <c r="D46" s="95" t="s">
        <v>146</v>
      </c>
      <c r="E46" s="95" t="s">
        <v>147</v>
      </c>
      <c r="F46" s="41" t="s">
        <v>203</v>
      </c>
      <c r="G46" s="96"/>
      <c r="H46" s="96">
        <v>0.18509999699581675</v>
      </c>
      <c r="I46" s="41" t="s">
        <v>204</v>
      </c>
      <c r="J46" s="41"/>
      <c r="K46" s="96">
        <v>0.22495595877074478</v>
      </c>
      <c r="L46" s="41"/>
      <c r="M46" s="96">
        <v>0.34397299083648319</v>
      </c>
      <c r="N46" s="41"/>
    </row>
    <row r="47" spans="1:14">
      <c r="A47" s="95" t="s">
        <v>144</v>
      </c>
      <c r="B47" s="95" t="s">
        <v>202</v>
      </c>
      <c r="C47" s="95" t="b">
        <v>0</v>
      </c>
      <c r="D47" s="95" t="s">
        <v>146</v>
      </c>
      <c r="E47" s="95" t="s">
        <v>150</v>
      </c>
      <c r="F47" s="41" t="s">
        <v>205</v>
      </c>
      <c r="G47" s="96"/>
      <c r="H47" s="96">
        <v>0.26481192054567282</v>
      </c>
      <c r="I47" s="41" t="s">
        <v>204</v>
      </c>
      <c r="J47" s="41"/>
      <c r="K47" s="96"/>
      <c r="L47" s="41"/>
      <c r="M47" s="96"/>
      <c r="N47" s="41"/>
    </row>
    <row r="48" spans="1:14">
      <c r="A48" s="95" t="s">
        <v>144</v>
      </c>
      <c r="B48" s="95" t="s">
        <v>202</v>
      </c>
      <c r="C48" s="95" t="b">
        <v>0</v>
      </c>
      <c r="D48" s="95" t="s">
        <v>152</v>
      </c>
      <c r="E48" s="95" t="s">
        <v>147</v>
      </c>
      <c r="F48" s="41" t="s">
        <v>206</v>
      </c>
      <c r="G48" s="96"/>
      <c r="H48" s="96">
        <v>0.25688591595816396</v>
      </c>
      <c r="I48" s="41" t="s">
        <v>207</v>
      </c>
      <c r="J48" s="41"/>
      <c r="K48" s="96">
        <v>0.33534971197136532</v>
      </c>
      <c r="L48" s="41"/>
      <c r="M48" s="96"/>
      <c r="N48" s="41"/>
    </row>
    <row r="49" spans="1:14">
      <c r="A49" s="95" t="s">
        <v>144</v>
      </c>
      <c r="B49" s="95" t="s">
        <v>202</v>
      </c>
      <c r="C49" s="95" t="b">
        <v>0</v>
      </c>
      <c r="D49" s="95" t="s">
        <v>152</v>
      </c>
      <c r="E49" s="95" t="s">
        <v>150</v>
      </c>
      <c r="F49" s="41" t="s">
        <v>208</v>
      </c>
      <c r="G49" s="96"/>
      <c r="H49" s="96">
        <v>0.41381350798456668</v>
      </c>
      <c r="I49" s="41" t="s">
        <v>207</v>
      </c>
      <c r="J49" s="41"/>
      <c r="K49" s="96"/>
      <c r="L49" s="41"/>
      <c r="M49" s="96"/>
      <c r="N49" s="41"/>
    </row>
    <row r="50" spans="1:14">
      <c r="A50" s="95" t="s">
        <v>144</v>
      </c>
      <c r="B50" s="95" t="s">
        <v>202</v>
      </c>
      <c r="C50" s="95" t="b">
        <v>0</v>
      </c>
      <c r="D50" s="95" t="s">
        <v>158</v>
      </c>
      <c r="E50" s="95" t="s">
        <v>147</v>
      </c>
      <c r="F50" s="41" t="s">
        <v>209</v>
      </c>
      <c r="G50" s="96"/>
      <c r="H50" s="96">
        <v>0.39996454610501858</v>
      </c>
      <c r="I50" s="41" t="s">
        <v>210</v>
      </c>
      <c r="J50" s="41"/>
      <c r="K50" s="96">
        <v>0.47161330176733951</v>
      </c>
      <c r="L50" s="41"/>
      <c r="M50" s="96"/>
      <c r="N50" s="41"/>
    </row>
    <row r="51" spans="1:14">
      <c r="A51" s="95" t="s">
        <v>144</v>
      </c>
      <c r="B51" s="95" t="s">
        <v>202</v>
      </c>
      <c r="C51" s="95" t="b">
        <v>0</v>
      </c>
      <c r="D51" s="95" t="s">
        <v>158</v>
      </c>
      <c r="E51" s="95" t="s">
        <v>150</v>
      </c>
      <c r="F51" s="41" t="s">
        <v>211</v>
      </c>
      <c r="G51" s="96"/>
      <c r="H51" s="96">
        <v>0.54326205742966049</v>
      </c>
      <c r="I51" s="41" t="s">
        <v>210</v>
      </c>
      <c r="J51" s="41"/>
      <c r="K51" s="96"/>
      <c r="L51" s="41"/>
      <c r="M51" s="96"/>
      <c r="N51" s="41"/>
    </row>
    <row r="52" spans="1:14">
      <c r="A52" s="95" t="s">
        <v>144</v>
      </c>
      <c r="B52" s="95" t="s">
        <v>212</v>
      </c>
      <c r="C52" s="95" t="b">
        <v>0</v>
      </c>
      <c r="D52" s="95" t="s">
        <v>146</v>
      </c>
      <c r="E52" s="95" t="s">
        <v>150</v>
      </c>
      <c r="F52" s="41" t="s">
        <v>213</v>
      </c>
      <c r="G52" s="96"/>
      <c r="H52" s="96">
        <v>0.37310549437030821</v>
      </c>
      <c r="I52" s="41" t="s">
        <v>214</v>
      </c>
      <c r="J52" s="41"/>
      <c r="K52" s="96">
        <v>0.37310549437030821</v>
      </c>
      <c r="L52" s="41"/>
      <c r="M52" s="96">
        <v>0.41307008921662813</v>
      </c>
      <c r="N52" s="41"/>
    </row>
    <row r="53" spans="1:14">
      <c r="A53" s="95" t="s">
        <v>144</v>
      </c>
      <c r="B53" s="95" t="s">
        <v>212</v>
      </c>
      <c r="C53" s="95" t="b">
        <v>0</v>
      </c>
      <c r="D53" s="95" t="s">
        <v>152</v>
      </c>
      <c r="E53" s="95" t="s">
        <v>147</v>
      </c>
      <c r="F53" s="41" t="s">
        <v>215</v>
      </c>
      <c r="G53" s="96"/>
      <c r="H53" s="96">
        <v>0.27984607046366217</v>
      </c>
      <c r="I53" s="41" t="s">
        <v>216</v>
      </c>
      <c r="J53" s="41"/>
      <c r="K53" s="96">
        <v>0.43305238663978812</v>
      </c>
      <c r="L53" s="41"/>
      <c r="M53" s="96"/>
      <c r="N53" s="41"/>
    </row>
    <row r="54" spans="1:14">
      <c r="A54" s="95" t="s">
        <v>144</v>
      </c>
      <c r="B54" s="95" t="s">
        <v>212</v>
      </c>
      <c r="C54" s="95" t="b">
        <v>0</v>
      </c>
      <c r="D54" s="95" t="s">
        <v>152</v>
      </c>
      <c r="E54" s="95" t="s">
        <v>150</v>
      </c>
      <c r="F54" s="41" t="s">
        <v>217</v>
      </c>
      <c r="G54" s="96"/>
      <c r="H54" s="96">
        <v>0.58625870281591408</v>
      </c>
      <c r="I54" s="41" t="s">
        <v>216</v>
      </c>
      <c r="J54" s="41"/>
      <c r="K54" s="96"/>
      <c r="L54" s="41"/>
      <c r="M54" s="96"/>
      <c r="N54" s="41"/>
    </row>
    <row r="55" spans="1:14">
      <c r="A55" s="95" t="s">
        <v>144</v>
      </c>
      <c r="B55" s="95" t="s">
        <v>212</v>
      </c>
      <c r="C55" s="95" t="b">
        <v>0</v>
      </c>
      <c r="D55" s="95" t="s">
        <v>158</v>
      </c>
      <c r="E55" s="95" t="s">
        <v>147</v>
      </c>
      <c r="F55" s="41" t="s">
        <v>218</v>
      </c>
      <c r="G55" s="96"/>
      <c r="H55" s="96">
        <v>0.44946639952287887</v>
      </c>
      <c r="I55" s="41"/>
      <c r="J55" s="41"/>
      <c r="K55" s="96"/>
      <c r="L55" s="41"/>
      <c r="M55" s="96"/>
      <c r="N55" s="41"/>
    </row>
    <row r="56" spans="1:14">
      <c r="A56" s="95" t="s">
        <v>219</v>
      </c>
      <c r="B56" s="95" t="s">
        <v>220</v>
      </c>
      <c r="C56" s="95" t="b">
        <v>0</v>
      </c>
      <c r="D56" s="95" t="s">
        <v>146</v>
      </c>
      <c r="E56" s="95" t="s">
        <v>147</v>
      </c>
      <c r="F56" s="41" t="s">
        <v>221</v>
      </c>
      <c r="G56" s="96"/>
      <c r="H56" s="96">
        <v>0.22986535976084221</v>
      </c>
      <c r="I56" s="41"/>
      <c r="J56" s="41"/>
      <c r="K56" s="96"/>
      <c r="L56" s="41"/>
      <c r="M56" s="96"/>
      <c r="N56" s="41"/>
    </row>
    <row r="57" spans="1:14">
      <c r="A57" s="95" t="s">
        <v>219</v>
      </c>
      <c r="B57" s="95" t="s">
        <v>220</v>
      </c>
      <c r="C57" s="95" t="b">
        <v>0</v>
      </c>
      <c r="D57" s="95" t="s">
        <v>146</v>
      </c>
      <c r="E57" s="95" t="s">
        <v>150</v>
      </c>
      <c r="F57" s="41" t="s">
        <v>222</v>
      </c>
      <c r="G57" s="96"/>
      <c r="H57" s="96">
        <v>0.84667194204466245</v>
      </c>
      <c r="I57" s="41"/>
      <c r="J57" s="41"/>
      <c r="K57" s="96"/>
      <c r="L57" s="41"/>
      <c r="M57" s="96"/>
      <c r="N57" s="41"/>
    </row>
    <row r="58" spans="1:14">
      <c r="A58" s="95" t="s">
        <v>219</v>
      </c>
      <c r="B58" s="95" t="s">
        <v>220</v>
      </c>
      <c r="C58" s="95" t="b">
        <v>0</v>
      </c>
      <c r="D58" s="95" t="s">
        <v>152</v>
      </c>
      <c r="E58" s="95" t="s">
        <v>147</v>
      </c>
      <c r="F58" s="41" t="s">
        <v>223</v>
      </c>
      <c r="G58" s="96"/>
      <c r="H58" s="96">
        <v>0.34404583630237656</v>
      </c>
      <c r="I58" s="41"/>
      <c r="J58" s="41"/>
      <c r="K58" s="96"/>
      <c r="L58" s="41"/>
      <c r="M58" s="96"/>
      <c r="N58" s="41"/>
    </row>
    <row r="59" spans="1:14">
      <c r="A59" s="95" t="s">
        <v>219</v>
      </c>
      <c r="B59" s="95" t="s">
        <v>220</v>
      </c>
      <c r="C59" s="95" t="b">
        <v>0</v>
      </c>
      <c r="D59" s="95" t="s">
        <v>158</v>
      </c>
      <c r="E59" s="95" t="s">
        <v>147</v>
      </c>
      <c r="F59" s="41" t="s">
        <v>224</v>
      </c>
      <c r="G59" s="96"/>
      <c r="H59" s="96">
        <v>0.62832441838683617</v>
      </c>
      <c r="I59" s="41"/>
      <c r="J59" s="41"/>
      <c r="K59" s="96"/>
      <c r="L59" s="41"/>
      <c r="M59" s="96"/>
      <c r="N59" s="41"/>
    </row>
    <row r="60" spans="1:14">
      <c r="A60" s="95" t="s">
        <v>219</v>
      </c>
      <c r="B60" s="95" t="s">
        <v>220</v>
      </c>
      <c r="C60" s="95" t="b">
        <v>0</v>
      </c>
      <c r="D60" s="95" t="s">
        <v>158</v>
      </c>
      <c r="E60" s="95" t="s">
        <v>150</v>
      </c>
      <c r="F60" s="41" t="s">
        <v>225</v>
      </c>
      <c r="G60" s="96"/>
      <c r="H60" s="96">
        <v>1.812327158556684</v>
      </c>
      <c r="I60" s="41"/>
      <c r="J60" s="41"/>
      <c r="K60" s="96"/>
      <c r="L60" s="41"/>
      <c r="M60" s="96"/>
      <c r="N60" s="41"/>
    </row>
    <row r="61" spans="1:14">
      <c r="A61" s="95" t="s">
        <v>219</v>
      </c>
      <c r="B61" s="95" t="s">
        <v>145</v>
      </c>
      <c r="C61" s="95" t="b">
        <v>0</v>
      </c>
      <c r="D61" s="95" t="s">
        <v>146</v>
      </c>
      <c r="E61" s="95" t="s">
        <v>147</v>
      </c>
      <c r="F61" s="41" t="s">
        <v>226</v>
      </c>
      <c r="G61" s="96"/>
      <c r="H61" s="96">
        <v>0.15913197010879487</v>
      </c>
      <c r="I61" s="41"/>
      <c r="J61" s="41"/>
      <c r="K61" s="96"/>
      <c r="L61" s="41"/>
      <c r="M61" s="96"/>
      <c r="N61" s="41"/>
    </row>
    <row r="62" spans="1:14">
      <c r="A62" s="95" t="s">
        <v>219</v>
      </c>
      <c r="B62" s="95" t="s">
        <v>145</v>
      </c>
      <c r="C62" s="95" t="b">
        <v>0</v>
      </c>
      <c r="D62" s="95" t="s">
        <v>146</v>
      </c>
      <c r="E62" s="95" t="s">
        <v>150</v>
      </c>
      <c r="F62" s="41" t="s">
        <v>227</v>
      </c>
      <c r="G62" s="96"/>
      <c r="H62" s="96">
        <v>0.41815277268763429</v>
      </c>
      <c r="I62" s="41"/>
      <c r="J62" s="41"/>
      <c r="K62" s="96"/>
      <c r="L62" s="41"/>
      <c r="M62" s="96"/>
      <c r="N62" s="41"/>
    </row>
    <row r="63" spans="1:14">
      <c r="A63" s="95" t="s">
        <v>219</v>
      </c>
      <c r="B63" s="95" t="s">
        <v>145</v>
      </c>
      <c r="C63" s="95" t="b">
        <v>0</v>
      </c>
      <c r="D63" s="95" t="s">
        <v>152</v>
      </c>
      <c r="E63" s="95" t="s">
        <v>147</v>
      </c>
      <c r="F63" s="41" t="s">
        <v>228</v>
      </c>
      <c r="G63" s="96"/>
      <c r="H63" s="96">
        <v>0.2402399173493793</v>
      </c>
      <c r="I63" s="41"/>
      <c r="J63" s="41"/>
      <c r="K63" s="96"/>
      <c r="L63" s="41"/>
      <c r="M63" s="96"/>
      <c r="N63" s="41"/>
    </row>
    <row r="64" spans="1:14">
      <c r="A64" s="95" t="s">
        <v>219</v>
      </c>
      <c r="B64" s="95" t="s">
        <v>145</v>
      </c>
      <c r="C64" s="95" t="b">
        <v>0</v>
      </c>
      <c r="D64" s="95" t="s">
        <v>152</v>
      </c>
      <c r="E64" s="95" t="s">
        <v>150</v>
      </c>
      <c r="F64" s="41" t="s">
        <v>229</v>
      </c>
      <c r="G64" s="96"/>
      <c r="H64" s="96">
        <v>0.68823265559152302</v>
      </c>
      <c r="I64" s="41"/>
      <c r="J64" s="41"/>
      <c r="K64" s="96"/>
      <c r="L64" s="41"/>
      <c r="M64" s="96"/>
      <c r="N64" s="41"/>
    </row>
    <row r="65" spans="1:14">
      <c r="A65" s="95" t="s">
        <v>219</v>
      </c>
      <c r="B65" s="95" t="s">
        <v>145</v>
      </c>
      <c r="C65" s="95" t="b">
        <v>0</v>
      </c>
      <c r="D65" s="95" t="s">
        <v>152</v>
      </c>
      <c r="E65" s="95" t="s">
        <v>156</v>
      </c>
      <c r="F65" s="41" t="s">
        <v>230</v>
      </c>
      <c r="G65" s="96"/>
      <c r="H65" s="96">
        <v>1.2560092017004911</v>
      </c>
      <c r="I65" s="41"/>
      <c r="J65" s="41"/>
      <c r="K65" s="96"/>
      <c r="L65" s="41"/>
      <c r="M65" s="96"/>
      <c r="N65" s="41"/>
    </row>
    <row r="66" spans="1:14">
      <c r="A66" s="95" t="s">
        <v>219</v>
      </c>
      <c r="B66" s="95" t="s">
        <v>145</v>
      </c>
      <c r="C66" s="95" t="b">
        <v>0</v>
      </c>
      <c r="D66" s="95" t="s">
        <v>158</v>
      </c>
      <c r="E66" s="95" t="s">
        <v>147</v>
      </c>
      <c r="F66" s="41" t="s">
        <v>231</v>
      </c>
      <c r="G66" s="96"/>
      <c r="H66" s="96">
        <v>0.41827586296930475</v>
      </c>
      <c r="I66" s="41"/>
      <c r="J66" s="41"/>
      <c r="K66" s="96"/>
      <c r="L66" s="41"/>
      <c r="M66" s="96"/>
      <c r="N66" s="41"/>
    </row>
    <row r="67" spans="1:14">
      <c r="A67" s="95" t="s">
        <v>219</v>
      </c>
      <c r="B67" s="95" t="s">
        <v>145</v>
      </c>
      <c r="C67" s="95" t="b">
        <v>0</v>
      </c>
      <c r="D67" s="95" t="s">
        <v>158</v>
      </c>
      <c r="E67" s="95" t="s">
        <v>150</v>
      </c>
      <c r="F67" s="41" t="s">
        <v>232</v>
      </c>
      <c r="G67" s="96"/>
      <c r="H67" s="96">
        <v>0.90824532970444394</v>
      </c>
      <c r="I67" s="41"/>
      <c r="J67" s="41"/>
      <c r="K67" s="96"/>
      <c r="L67" s="41"/>
      <c r="M67" s="96"/>
      <c r="N67" s="41"/>
    </row>
    <row r="68" spans="1:14">
      <c r="A68" s="95" t="s">
        <v>219</v>
      </c>
      <c r="B68" s="95" t="s">
        <v>233</v>
      </c>
      <c r="C68" s="95" t="b">
        <v>0</v>
      </c>
      <c r="D68" s="95" t="s">
        <v>146</v>
      </c>
      <c r="E68" s="95" t="s">
        <v>147</v>
      </c>
      <c r="F68" s="41" t="s">
        <v>234</v>
      </c>
      <c r="G68" s="96"/>
      <c r="H68" s="96">
        <v>0.1790856816077725</v>
      </c>
      <c r="I68" s="41"/>
      <c r="J68" s="41"/>
      <c r="K68" s="96"/>
      <c r="L68" s="41"/>
      <c r="M68" s="96"/>
      <c r="N68" s="41"/>
    </row>
    <row r="69" spans="1:14">
      <c r="A69" s="95" t="s">
        <v>219</v>
      </c>
      <c r="B69" s="95" t="s">
        <v>233</v>
      </c>
      <c r="C69" s="95" t="b">
        <v>0</v>
      </c>
      <c r="D69" s="95" t="s">
        <v>146</v>
      </c>
      <c r="E69" s="95" t="s">
        <v>150</v>
      </c>
      <c r="F69" s="41" t="s">
        <v>235</v>
      </c>
      <c r="G69" s="96"/>
      <c r="H69" s="96">
        <v>0.60137869605105509</v>
      </c>
      <c r="I69" s="41"/>
      <c r="J69" s="41"/>
      <c r="K69" s="96"/>
      <c r="L69" s="41"/>
      <c r="M69" s="96"/>
      <c r="N69" s="41"/>
    </row>
    <row r="70" spans="1:14">
      <c r="A70" s="95" t="s">
        <v>219</v>
      </c>
      <c r="B70" s="95" t="s">
        <v>233</v>
      </c>
      <c r="C70" s="95" t="b">
        <v>0</v>
      </c>
      <c r="D70" s="95" t="s">
        <v>152</v>
      </c>
      <c r="E70" s="95" t="s">
        <v>147</v>
      </c>
      <c r="F70" s="41" t="s">
        <v>236</v>
      </c>
      <c r="G70" s="96"/>
      <c r="H70" s="96">
        <v>0.27275089214846648</v>
      </c>
      <c r="I70" s="41"/>
      <c r="J70" s="41"/>
      <c r="K70" s="96"/>
      <c r="L70" s="41"/>
      <c r="M70" s="96"/>
      <c r="N70" s="41"/>
    </row>
    <row r="71" spans="1:14">
      <c r="A71" s="95" t="s">
        <v>219</v>
      </c>
      <c r="B71" s="95" t="s">
        <v>233</v>
      </c>
      <c r="C71" s="95" t="b">
        <v>0</v>
      </c>
      <c r="D71" s="95" t="s">
        <v>152</v>
      </c>
      <c r="E71" s="95" t="s">
        <v>150</v>
      </c>
      <c r="F71" s="41" t="s">
        <v>237</v>
      </c>
      <c r="G71" s="96"/>
      <c r="H71" s="96">
        <v>0.9866592160052513</v>
      </c>
      <c r="I71" s="41"/>
      <c r="J71" s="41"/>
      <c r="K71" s="96"/>
      <c r="L71" s="41"/>
      <c r="M71" s="96"/>
      <c r="N71" s="41"/>
    </row>
    <row r="72" spans="1:14">
      <c r="A72" s="95" t="s">
        <v>219</v>
      </c>
      <c r="B72" s="95" t="s">
        <v>233</v>
      </c>
      <c r="C72" s="95" t="b">
        <v>0</v>
      </c>
      <c r="D72" s="95" t="s">
        <v>158</v>
      </c>
      <c r="E72" s="95" t="s">
        <v>147</v>
      </c>
      <c r="F72" s="41" t="s">
        <v>238</v>
      </c>
      <c r="G72" s="96"/>
      <c r="H72" s="96">
        <v>0.4939024515493719</v>
      </c>
      <c r="I72" s="41"/>
      <c r="J72" s="41"/>
      <c r="K72" s="96"/>
      <c r="L72" s="41"/>
      <c r="M72" s="96"/>
      <c r="N72" s="41"/>
    </row>
    <row r="73" spans="1:14">
      <c r="A73" s="95" t="s">
        <v>219</v>
      </c>
      <c r="B73" s="95" t="s">
        <v>233</v>
      </c>
      <c r="C73" s="95" t="b">
        <v>0</v>
      </c>
      <c r="D73" s="95" t="s">
        <v>158</v>
      </c>
      <c r="E73" s="95" t="s">
        <v>150</v>
      </c>
      <c r="F73" s="41" t="s">
        <v>239</v>
      </c>
      <c r="G73" s="96"/>
      <c r="H73" s="96">
        <v>1.2864143258186747</v>
      </c>
      <c r="I73" s="41"/>
      <c r="J73" s="41"/>
      <c r="K73" s="96"/>
      <c r="L73" s="41"/>
      <c r="M73" s="96"/>
      <c r="N73" s="41"/>
    </row>
    <row r="74" spans="1:14">
      <c r="A74" s="95" t="s">
        <v>219</v>
      </c>
      <c r="B74" s="95" t="s">
        <v>240</v>
      </c>
      <c r="C74" s="95" t="b">
        <v>0</v>
      </c>
      <c r="D74" s="95" t="s">
        <v>146</v>
      </c>
      <c r="E74" s="95" t="s">
        <v>147</v>
      </c>
      <c r="F74" s="41" t="s">
        <v>241</v>
      </c>
      <c r="G74" s="96"/>
      <c r="H74" s="96">
        <v>0.24284916598581971</v>
      </c>
      <c r="I74" s="41"/>
      <c r="J74" s="41"/>
      <c r="K74" s="96"/>
      <c r="L74" s="96"/>
      <c r="M74" s="96"/>
      <c r="N74" s="41"/>
    </row>
    <row r="75" spans="1:14">
      <c r="A75" s="95" t="s">
        <v>219</v>
      </c>
      <c r="B75" s="95" t="s">
        <v>240</v>
      </c>
      <c r="C75" s="95" t="b">
        <v>0</v>
      </c>
      <c r="D75" s="95" t="s">
        <v>152</v>
      </c>
      <c r="E75" s="95" t="s">
        <v>150</v>
      </c>
      <c r="F75" s="41" t="s">
        <v>242</v>
      </c>
      <c r="G75" s="96"/>
      <c r="H75" s="96">
        <v>0.99915073192563453</v>
      </c>
      <c r="I75" s="41"/>
      <c r="J75" s="41"/>
      <c r="K75" s="96"/>
      <c r="L75" s="96"/>
      <c r="M75" s="96"/>
      <c r="N75" s="41"/>
    </row>
    <row r="76" spans="1:14">
      <c r="A76" s="95" t="s">
        <v>219</v>
      </c>
      <c r="B76" s="95" t="s">
        <v>240</v>
      </c>
      <c r="C76" s="95" t="b">
        <v>0</v>
      </c>
      <c r="D76" s="95" t="s">
        <v>152</v>
      </c>
      <c r="E76" s="95" t="s">
        <v>156</v>
      </c>
      <c r="F76" s="41" t="s">
        <v>243</v>
      </c>
      <c r="G76" s="96"/>
      <c r="H76" s="96">
        <v>1.941378433065069</v>
      </c>
      <c r="I76" s="41"/>
      <c r="J76" s="41"/>
      <c r="K76" s="96"/>
      <c r="L76" s="96"/>
      <c r="M76" s="96"/>
      <c r="N76" s="41"/>
    </row>
    <row r="77" spans="1:14">
      <c r="A77" s="95" t="s">
        <v>219</v>
      </c>
      <c r="B77" s="95" t="s">
        <v>240</v>
      </c>
      <c r="C77" s="95" t="b">
        <v>0</v>
      </c>
      <c r="D77" s="95" t="s">
        <v>158</v>
      </c>
      <c r="E77" s="95" t="s">
        <v>147</v>
      </c>
      <c r="F77" s="41" t="s">
        <v>244</v>
      </c>
      <c r="G77" s="96"/>
      <c r="H77" s="96">
        <v>0.58587908496201924</v>
      </c>
      <c r="I77" s="41"/>
      <c r="J77" s="41"/>
      <c r="K77" s="96"/>
      <c r="L77" s="96"/>
      <c r="M77" s="96"/>
      <c r="N77" s="41"/>
    </row>
    <row r="78" spans="1:14">
      <c r="A78" s="95" t="s">
        <v>219</v>
      </c>
      <c r="B78" s="95" t="s">
        <v>171</v>
      </c>
      <c r="C78" s="95" t="b">
        <v>0</v>
      </c>
      <c r="D78" s="95" t="s">
        <v>146</v>
      </c>
      <c r="E78" s="95" t="s">
        <v>147</v>
      </c>
      <c r="F78" s="41" t="s">
        <v>245</v>
      </c>
      <c r="G78" s="96"/>
      <c r="H78" s="96">
        <v>0.38585154615439954</v>
      </c>
      <c r="I78" s="41"/>
      <c r="J78" s="41"/>
      <c r="K78" s="96"/>
      <c r="L78" s="96"/>
      <c r="M78" s="96"/>
      <c r="N78" s="41"/>
    </row>
    <row r="79" spans="1:14">
      <c r="A79" s="95" t="s">
        <v>219</v>
      </c>
      <c r="B79" s="95" t="s">
        <v>171</v>
      </c>
      <c r="C79" s="95" t="b">
        <v>0</v>
      </c>
      <c r="D79" s="95" t="s">
        <v>146</v>
      </c>
      <c r="E79" s="95" t="s">
        <v>150</v>
      </c>
      <c r="F79" s="41" t="s">
        <v>246</v>
      </c>
      <c r="G79" s="96"/>
      <c r="H79" s="96">
        <v>0.64170378706752684</v>
      </c>
      <c r="I79" s="41"/>
      <c r="J79" s="41"/>
      <c r="K79" s="96"/>
      <c r="L79" s="96"/>
      <c r="M79" s="96"/>
      <c r="N79" s="41"/>
    </row>
    <row r="80" spans="1:14">
      <c r="A80" s="95" t="s">
        <v>219</v>
      </c>
      <c r="B80" s="95" t="s">
        <v>171</v>
      </c>
      <c r="C80" s="95" t="b">
        <v>0</v>
      </c>
      <c r="D80" s="95" t="s">
        <v>152</v>
      </c>
      <c r="E80" s="95" t="s">
        <v>147</v>
      </c>
      <c r="F80" s="41" t="s">
        <v>247</v>
      </c>
      <c r="G80" s="96"/>
      <c r="H80" s="96">
        <v>0.48371924500412211</v>
      </c>
      <c r="I80" s="41"/>
      <c r="J80" s="96"/>
      <c r="K80" s="96"/>
      <c r="L80" s="96"/>
      <c r="M80" s="96"/>
      <c r="N80" s="41"/>
    </row>
    <row r="81" spans="1:14">
      <c r="A81" s="95" t="s">
        <v>219</v>
      </c>
      <c r="B81" s="95" t="s">
        <v>171</v>
      </c>
      <c r="C81" s="95" t="b">
        <v>0</v>
      </c>
      <c r="D81" s="95" t="s">
        <v>158</v>
      </c>
      <c r="E81" s="95" t="s">
        <v>147</v>
      </c>
      <c r="F81" s="41" t="s">
        <v>248</v>
      </c>
      <c r="G81" s="96"/>
      <c r="H81" s="96">
        <v>0.80071497497427524</v>
      </c>
      <c r="I81" s="41"/>
      <c r="J81" s="96"/>
      <c r="K81" s="96"/>
      <c r="L81" s="96"/>
      <c r="M81" s="96"/>
      <c r="N81" s="41"/>
    </row>
    <row r="82" spans="1:14">
      <c r="A82" s="95" t="s">
        <v>219</v>
      </c>
      <c r="B82" s="95" t="s">
        <v>171</v>
      </c>
      <c r="C82" s="95" t="b">
        <v>0</v>
      </c>
      <c r="D82" s="95" t="s">
        <v>158</v>
      </c>
      <c r="E82" s="95" t="s">
        <v>150</v>
      </c>
      <c r="F82" s="41" t="s">
        <v>249</v>
      </c>
      <c r="G82" s="96"/>
      <c r="H82" s="96">
        <v>1.2731858902745434</v>
      </c>
      <c r="I82" s="41"/>
      <c r="J82" s="96"/>
      <c r="K82" s="96"/>
      <c r="L82" s="96"/>
      <c r="M82" s="96"/>
      <c r="N82" s="41"/>
    </row>
    <row r="83" spans="1:14">
      <c r="A83" s="95" t="s">
        <v>219</v>
      </c>
      <c r="B83" s="95" t="s">
        <v>180</v>
      </c>
      <c r="C83" s="95" t="b">
        <v>0</v>
      </c>
      <c r="D83" s="95" t="s">
        <v>146</v>
      </c>
      <c r="E83" s="95" t="s">
        <v>147</v>
      </c>
      <c r="F83" s="41" t="s">
        <v>250</v>
      </c>
      <c r="G83" s="96"/>
      <c r="H83" s="96">
        <v>0.27629869886239217</v>
      </c>
      <c r="I83" s="41"/>
      <c r="J83" s="96"/>
      <c r="K83" s="96"/>
      <c r="L83" s="96"/>
      <c r="M83" s="96"/>
      <c r="N83" s="41"/>
    </row>
    <row r="84" spans="1:14">
      <c r="A84" s="95" t="s">
        <v>219</v>
      </c>
      <c r="B84" s="95" t="s">
        <v>180</v>
      </c>
      <c r="C84" s="95" t="b">
        <v>0</v>
      </c>
      <c r="D84" s="95" t="s">
        <v>146</v>
      </c>
      <c r="E84" s="95" t="s">
        <v>150</v>
      </c>
      <c r="F84" s="41" t="s">
        <v>251</v>
      </c>
      <c r="G84" s="96"/>
      <c r="H84" s="96">
        <v>0.38293414353736904</v>
      </c>
      <c r="I84" s="41"/>
      <c r="J84" s="96"/>
      <c r="K84" s="96"/>
      <c r="L84" s="96"/>
      <c r="M84" s="96"/>
      <c r="N84" s="41"/>
    </row>
    <row r="85" spans="1:14">
      <c r="A85" s="95" t="s">
        <v>219</v>
      </c>
      <c r="B85" s="95" t="s">
        <v>180</v>
      </c>
      <c r="C85" s="95" t="b">
        <v>0</v>
      </c>
      <c r="D85" s="95" t="s">
        <v>152</v>
      </c>
      <c r="E85" s="95" t="s">
        <v>147</v>
      </c>
      <c r="F85" s="41" t="s">
        <v>252</v>
      </c>
      <c r="G85" s="96"/>
      <c r="H85" s="96">
        <v>0.35551306957069218</v>
      </c>
      <c r="I85" s="41"/>
      <c r="J85" s="96"/>
      <c r="K85" s="96"/>
      <c r="L85" s="96"/>
      <c r="M85" s="96"/>
      <c r="N85" s="41"/>
    </row>
    <row r="86" spans="1:14">
      <c r="A86" s="95" t="s">
        <v>219</v>
      </c>
      <c r="B86" s="95" t="s">
        <v>180</v>
      </c>
      <c r="C86" s="95" t="b">
        <v>0</v>
      </c>
      <c r="D86" s="95" t="s">
        <v>152</v>
      </c>
      <c r="E86" s="95" t="s">
        <v>150</v>
      </c>
      <c r="F86" s="41" t="s">
        <v>253</v>
      </c>
      <c r="G86" s="96"/>
      <c r="H86" s="96">
        <v>0.5691106388815188</v>
      </c>
      <c r="I86" s="41"/>
      <c r="J86" s="96"/>
      <c r="K86" s="96"/>
      <c r="L86" s="96"/>
      <c r="M86" s="96"/>
      <c r="N86" s="41"/>
    </row>
    <row r="87" spans="1:14">
      <c r="A87" s="95" t="s">
        <v>219</v>
      </c>
      <c r="B87" s="95" t="s">
        <v>180</v>
      </c>
      <c r="C87" s="95" t="b">
        <v>0</v>
      </c>
      <c r="D87" s="95" t="s">
        <v>152</v>
      </c>
      <c r="E87" s="95" t="s">
        <v>156</v>
      </c>
      <c r="F87" s="41" t="s">
        <v>254</v>
      </c>
      <c r="G87" s="96"/>
      <c r="H87" s="96">
        <v>2.4373789227860323</v>
      </c>
      <c r="I87" s="41"/>
      <c r="J87" s="96"/>
      <c r="K87" s="96"/>
      <c r="L87" s="96"/>
      <c r="M87" s="96"/>
      <c r="N87" s="41"/>
    </row>
    <row r="88" spans="1:14">
      <c r="A88" s="95" t="s">
        <v>219</v>
      </c>
      <c r="B88" s="95" t="s">
        <v>180</v>
      </c>
      <c r="C88" s="95" t="b">
        <v>0</v>
      </c>
      <c r="D88" s="95" t="s">
        <v>158</v>
      </c>
      <c r="E88" s="95" t="s">
        <v>147</v>
      </c>
      <c r="F88" s="41" t="s">
        <v>255</v>
      </c>
      <c r="G88" s="96"/>
      <c r="H88" s="96">
        <v>0.51800629091226547</v>
      </c>
      <c r="I88" s="41"/>
      <c r="J88" s="96"/>
      <c r="K88" s="96"/>
      <c r="L88" s="96"/>
      <c r="M88" s="96"/>
      <c r="N88" s="41"/>
    </row>
    <row r="89" spans="1:14">
      <c r="A89" s="95" t="s">
        <v>219</v>
      </c>
      <c r="B89" s="95" t="s">
        <v>180</v>
      </c>
      <c r="C89" s="95" t="b">
        <v>0</v>
      </c>
      <c r="D89" s="95" t="s">
        <v>158</v>
      </c>
      <c r="E89" s="95" t="s">
        <v>150</v>
      </c>
      <c r="F89" s="41" t="s">
        <v>256</v>
      </c>
      <c r="G89" s="96"/>
      <c r="H89" s="96">
        <v>0.70222391132430373</v>
      </c>
      <c r="I89" s="41"/>
      <c r="J89" s="96"/>
      <c r="K89" s="96"/>
      <c r="L89" s="96"/>
      <c r="M89" s="96"/>
      <c r="N89" s="41"/>
    </row>
    <row r="90" spans="1:14">
      <c r="A90" s="95" t="s">
        <v>219</v>
      </c>
      <c r="B90" s="95" t="s">
        <v>190</v>
      </c>
      <c r="C90" s="95" t="b">
        <v>0</v>
      </c>
      <c r="D90" s="95" t="s">
        <v>146</v>
      </c>
      <c r="E90" s="95" t="s">
        <v>147</v>
      </c>
      <c r="F90" s="41" t="s">
        <v>257</v>
      </c>
      <c r="G90" s="96"/>
      <c r="H90" s="96">
        <v>0.15554638969636247</v>
      </c>
      <c r="I90" s="41"/>
      <c r="J90" s="96"/>
      <c r="K90" s="96"/>
      <c r="L90" s="96"/>
      <c r="M90" s="96"/>
      <c r="N90" s="41"/>
    </row>
    <row r="91" spans="1:14">
      <c r="A91" s="95" t="s">
        <v>219</v>
      </c>
      <c r="B91" s="95" t="s">
        <v>190</v>
      </c>
      <c r="C91" s="95" t="b">
        <v>0</v>
      </c>
      <c r="D91" s="95" t="s">
        <v>146</v>
      </c>
      <c r="E91" s="95" t="s">
        <v>150</v>
      </c>
      <c r="F91" s="41" t="s">
        <v>258</v>
      </c>
      <c r="G91" s="96"/>
      <c r="H91" s="96">
        <v>0.18296243247861421</v>
      </c>
      <c r="I91" s="41"/>
      <c r="J91" s="96"/>
      <c r="K91" s="96"/>
      <c r="L91" s="96"/>
      <c r="M91" s="96"/>
      <c r="N91" s="41"/>
    </row>
    <row r="92" spans="1:14">
      <c r="A92" s="95" t="s">
        <v>219</v>
      </c>
      <c r="B92" s="95" t="s">
        <v>190</v>
      </c>
      <c r="C92" s="95" t="b">
        <v>0</v>
      </c>
      <c r="D92" s="95" t="s">
        <v>152</v>
      </c>
      <c r="E92" s="95" t="s">
        <v>147</v>
      </c>
      <c r="F92" s="41" t="s">
        <v>259</v>
      </c>
      <c r="G92" s="96"/>
      <c r="H92" s="96">
        <v>0.22220210901267362</v>
      </c>
      <c r="I92" s="41"/>
      <c r="J92" s="96"/>
      <c r="K92" s="96"/>
      <c r="L92" s="96"/>
      <c r="M92" s="96"/>
    </row>
    <row r="93" spans="1:14">
      <c r="A93" s="95" t="s">
        <v>219</v>
      </c>
      <c r="B93" s="95" t="s">
        <v>190</v>
      </c>
      <c r="C93" s="95" t="b">
        <v>0</v>
      </c>
      <c r="D93" s="95" t="s">
        <v>152</v>
      </c>
      <c r="E93" s="95" t="s">
        <v>150</v>
      </c>
      <c r="F93" s="41" t="s">
        <v>260</v>
      </c>
      <c r="G93" s="96"/>
      <c r="H93" s="96">
        <v>0.29132534215662448</v>
      </c>
      <c r="I93" s="41"/>
      <c r="J93" s="96"/>
      <c r="K93" s="96"/>
      <c r="L93" s="96"/>
      <c r="M93" s="96"/>
    </row>
    <row r="94" spans="1:14">
      <c r="A94" s="95" t="s">
        <v>219</v>
      </c>
      <c r="B94" s="95" t="s">
        <v>190</v>
      </c>
      <c r="C94" s="95" t="b">
        <v>0</v>
      </c>
      <c r="D94" s="95" t="s">
        <v>152</v>
      </c>
      <c r="E94" s="95" t="s">
        <v>156</v>
      </c>
      <c r="F94" s="41" t="s">
        <v>261</v>
      </c>
      <c r="G94" s="96"/>
      <c r="H94" s="96">
        <v>1.2312051488614004</v>
      </c>
      <c r="I94" s="41"/>
      <c r="J94" s="96"/>
      <c r="K94" s="96"/>
      <c r="L94" s="96"/>
      <c r="M94" s="96"/>
    </row>
    <row r="95" spans="1:14">
      <c r="A95" s="95" t="s">
        <v>219</v>
      </c>
      <c r="B95" s="95" t="s">
        <v>190</v>
      </c>
      <c r="C95" s="95" t="b">
        <v>0</v>
      </c>
      <c r="D95" s="95" t="s">
        <v>158</v>
      </c>
      <c r="E95" s="95" t="s">
        <v>147</v>
      </c>
      <c r="F95" s="41" t="s">
        <v>262</v>
      </c>
      <c r="G95" s="96"/>
      <c r="H95" s="96">
        <v>0.35045279311674005</v>
      </c>
      <c r="I95" s="41"/>
      <c r="J95" s="96"/>
      <c r="K95" s="96"/>
      <c r="L95" s="96"/>
      <c r="M95" s="96"/>
    </row>
    <row r="96" spans="1:14">
      <c r="A96" s="95" t="s">
        <v>219</v>
      </c>
      <c r="B96" s="95" t="s">
        <v>190</v>
      </c>
      <c r="C96" s="95" t="b">
        <v>0</v>
      </c>
      <c r="D96" s="95" t="s">
        <v>158</v>
      </c>
      <c r="E96" s="95" t="s">
        <v>150</v>
      </c>
      <c r="F96" s="41" t="s">
        <v>263</v>
      </c>
      <c r="G96" s="96"/>
      <c r="H96" s="96">
        <v>0.38899706195708988</v>
      </c>
      <c r="I96" s="41"/>
      <c r="J96" s="96"/>
      <c r="K96" s="96"/>
      <c r="L96" s="96"/>
      <c r="M96" s="96"/>
    </row>
    <row r="97" spans="1:13">
      <c r="A97" s="95" t="s">
        <v>219</v>
      </c>
      <c r="B97" s="95" t="s">
        <v>190</v>
      </c>
      <c r="C97" s="95" t="b">
        <v>0</v>
      </c>
      <c r="D97" s="95" t="s">
        <v>158</v>
      </c>
      <c r="E97" s="95" t="s">
        <v>156</v>
      </c>
      <c r="F97" s="41" t="s">
        <v>264</v>
      </c>
      <c r="G97" s="96"/>
      <c r="H97" s="96">
        <v>1.8602025720286823</v>
      </c>
      <c r="I97" s="41"/>
      <c r="J97" s="96"/>
      <c r="K97" s="96"/>
      <c r="L97" s="96"/>
      <c r="M97" s="96"/>
    </row>
    <row r="98" spans="1:13">
      <c r="A98" s="95" t="s">
        <v>219</v>
      </c>
      <c r="B98" s="95" t="s">
        <v>202</v>
      </c>
      <c r="C98" s="95" t="b">
        <v>0</v>
      </c>
      <c r="D98" s="95" t="s">
        <v>146</v>
      </c>
      <c r="E98" s="95" t="s">
        <v>147</v>
      </c>
      <c r="F98" s="41" t="s">
        <v>265</v>
      </c>
      <c r="G98" s="96"/>
      <c r="H98" s="96">
        <v>0.18936674099803591</v>
      </c>
      <c r="I98" s="41"/>
      <c r="J98" s="96"/>
      <c r="K98" s="96"/>
      <c r="L98" s="96"/>
      <c r="M98" s="96"/>
    </row>
    <row r="99" spans="1:13">
      <c r="A99" s="95" t="s">
        <v>219</v>
      </c>
      <c r="B99" s="95" t="s">
        <v>202</v>
      </c>
      <c r="C99" s="95" t="b">
        <v>0</v>
      </c>
      <c r="D99" s="95" t="s">
        <v>146</v>
      </c>
      <c r="E99" s="95" t="s">
        <v>150</v>
      </c>
      <c r="F99" s="41" t="s">
        <v>266</v>
      </c>
      <c r="G99" s="96"/>
      <c r="H99" s="96">
        <v>0.28053622686450691</v>
      </c>
      <c r="I99" s="41"/>
      <c r="J99" s="96"/>
      <c r="K99" s="96"/>
      <c r="L99" s="96"/>
      <c r="M99" s="96"/>
    </row>
    <row r="100" spans="1:13">
      <c r="A100" s="95" t="s">
        <v>219</v>
      </c>
      <c r="B100" s="95" t="s">
        <v>202</v>
      </c>
      <c r="C100" s="95" t="b">
        <v>0</v>
      </c>
      <c r="D100" s="95" t="s">
        <v>152</v>
      </c>
      <c r="E100" s="95" t="s">
        <v>147</v>
      </c>
      <c r="F100" s="41" t="s">
        <v>267</v>
      </c>
      <c r="G100" s="96"/>
      <c r="H100" s="96">
        <v>0.26350803502905218</v>
      </c>
      <c r="I100" s="41"/>
      <c r="J100" s="96"/>
      <c r="K100" s="96"/>
      <c r="L100" s="96"/>
      <c r="M100" s="96"/>
    </row>
    <row r="101" spans="1:13">
      <c r="A101" s="95" t="s">
        <v>219</v>
      </c>
      <c r="B101" s="95" t="s">
        <v>202</v>
      </c>
      <c r="C101" s="95" t="b">
        <v>0</v>
      </c>
      <c r="D101" s="95" t="s">
        <v>152</v>
      </c>
      <c r="E101" s="95" t="s">
        <v>150</v>
      </c>
      <c r="F101" s="41" t="s">
        <v>268</v>
      </c>
      <c r="G101" s="96"/>
      <c r="H101" s="96">
        <v>0.43961406187624463</v>
      </c>
      <c r="I101" s="41"/>
      <c r="J101" s="96"/>
      <c r="K101" s="96"/>
      <c r="L101" s="96"/>
      <c r="M101" s="96"/>
    </row>
    <row r="102" spans="1:13">
      <c r="A102" s="95" t="s">
        <v>219</v>
      </c>
      <c r="B102" s="95" t="s">
        <v>202</v>
      </c>
      <c r="C102" s="95" t="b">
        <v>0</v>
      </c>
      <c r="D102" s="95" t="s">
        <v>152</v>
      </c>
      <c r="E102" s="95" t="s">
        <v>156</v>
      </c>
      <c r="F102" s="41" t="s">
        <v>269</v>
      </c>
      <c r="G102" s="96"/>
      <c r="H102" s="96">
        <v>1.6208538243101291</v>
      </c>
      <c r="I102" s="41"/>
      <c r="J102" s="96"/>
      <c r="K102" s="96"/>
      <c r="L102" s="96"/>
      <c r="M102" s="96"/>
    </row>
    <row r="103" spans="1:13">
      <c r="A103" s="95" t="s">
        <v>219</v>
      </c>
      <c r="B103" s="95" t="s">
        <v>202</v>
      </c>
      <c r="C103" s="95" t="b">
        <v>0</v>
      </c>
      <c r="D103" s="95" t="s">
        <v>158</v>
      </c>
      <c r="E103" s="95" t="s">
        <v>147</v>
      </c>
      <c r="F103" s="41" t="s">
        <v>270</v>
      </c>
      <c r="G103" s="96"/>
      <c r="H103" s="96">
        <v>0.41194013702263671</v>
      </c>
      <c r="I103" s="41"/>
      <c r="J103" s="96"/>
      <c r="K103" s="96"/>
      <c r="L103" s="96"/>
      <c r="M103" s="96"/>
    </row>
    <row r="104" spans="1:13">
      <c r="A104" s="95" t="s">
        <v>219</v>
      </c>
      <c r="B104" s="95" t="s">
        <v>202</v>
      </c>
      <c r="C104" s="95" t="b">
        <v>0</v>
      </c>
      <c r="D104" s="95" t="s">
        <v>158</v>
      </c>
      <c r="E104" s="95" t="s">
        <v>150</v>
      </c>
      <c r="F104" s="41" t="s">
        <v>271</v>
      </c>
      <c r="G104" s="96"/>
      <c r="H104" s="96">
        <v>0.5773852039657702</v>
      </c>
      <c r="I104" s="41"/>
      <c r="J104" s="96"/>
      <c r="K104" s="96"/>
      <c r="L104" s="96"/>
      <c r="M104" s="96"/>
    </row>
    <row r="105" spans="1:13">
      <c r="A105" s="95" t="s">
        <v>219</v>
      </c>
      <c r="B105" s="95" t="s">
        <v>212</v>
      </c>
      <c r="C105" s="95" t="b">
        <v>0</v>
      </c>
      <c r="D105" s="95" t="s">
        <v>146</v>
      </c>
      <c r="E105" s="95" t="s">
        <v>147</v>
      </c>
      <c r="F105" s="41" t="s">
        <v>272</v>
      </c>
      <c r="G105" s="96"/>
      <c r="H105" s="96">
        <v>0.21528833951089688</v>
      </c>
      <c r="I105" s="41"/>
      <c r="J105" s="96"/>
      <c r="K105" s="96"/>
      <c r="L105" s="96"/>
      <c r="M105" s="96"/>
    </row>
    <row r="106" spans="1:13">
      <c r="A106" s="95" t="s">
        <v>219</v>
      </c>
      <c r="B106" s="95" t="s">
        <v>212</v>
      </c>
      <c r="C106" s="95" t="b">
        <v>0</v>
      </c>
      <c r="D106" s="95" t="s">
        <v>146</v>
      </c>
      <c r="E106" s="95" t="s">
        <v>150</v>
      </c>
      <c r="F106" s="41" t="s">
        <v>273</v>
      </c>
      <c r="G106" s="96"/>
      <c r="H106" s="96">
        <v>0.47030742523519942</v>
      </c>
      <c r="I106" s="41"/>
      <c r="J106" s="96"/>
      <c r="K106" s="96"/>
      <c r="L106" s="96"/>
      <c r="M106" s="96"/>
    </row>
    <row r="107" spans="1:13">
      <c r="A107" s="95" t="s">
        <v>219</v>
      </c>
      <c r="B107" s="95" t="s">
        <v>212</v>
      </c>
      <c r="C107" s="95" t="b">
        <v>0</v>
      </c>
      <c r="D107" s="95" t="s">
        <v>152</v>
      </c>
      <c r="E107" s="95" t="s">
        <v>147</v>
      </c>
      <c r="F107" s="41" t="s">
        <v>274</v>
      </c>
      <c r="G107" s="96"/>
      <c r="H107" s="96">
        <v>0.30220081394725151</v>
      </c>
      <c r="I107" s="41"/>
      <c r="J107" s="96"/>
      <c r="K107" s="96"/>
      <c r="L107" s="96"/>
      <c r="M107" s="96"/>
    </row>
    <row r="108" spans="1:13">
      <c r="A108" s="95" t="s">
        <v>219</v>
      </c>
      <c r="B108" s="95" t="s">
        <v>212</v>
      </c>
      <c r="C108" s="95" t="b">
        <v>0</v>
      </c>
      <c r="D108" s="95" t="s">
        <v>152</v>
      </c>
      <c r="E108" s="95" t="s">
        <v>150</v>
      </c>
      <c r="F108" s="41" t="s">
        <v>275</v>
      </c>
      <c r="G108" s="96"/>
      <c r="H108" s="96">
        <v>0.74674471059732839</v>
      </c>
      <c r="I108" s="41"/>
      <c r="J108" s="96"/>
      <c r="K108" s="96"/>
      <c r="L108" s="96"/>
      <c r="M108" s="96"/>
    </row>
    <row r="109" spans="1:13">
      <c r="A109" s="95" t="s">
        <v>219</v>
      </c>
      <c r="B109" s="95" t="s">
        <v>212</v>
      </c>
      <c r="C109" s="95" t="b">
        <v>0</v>
      </c>
      <c r="D109" s="95" t="s">
        <v>152</v>
      </c>
      <c r="E109" s="95" t="s">
        <v>156</v>
      </c>
      <c r="F109" s="41" t="s">
        <v>276</v>
      </c>
      <c r="G109" s="96"/>
      <c r="H109" s="96">
        <v>1.8582943622984072</v>
      </c>
      <c r="I109" s="41"/>
      <c r="J109" s="96"/>
      <c r="K109" s="96"/>
      <c r="L109" s="96"/>
      <c r="M109" s="96"/>
    </row>
    <row r="110" spans="1:13">
      <c r="A110" s="95" t="s">
        <v>219</v>
      </c>
      <c r="B110" s="95" t="s">
        <v>212</v>
      </c>
      <c r="C110" s="95" t="b">
        <v>0</v>
      </c>
      <c r="D110" s="95" t="s">
        <v>158</v>
      </c>
      <c r="E110" s="95" t="s">
        <v>147</v>
      </c>
      <c r="F110" s="41" t="s">
        <v>277</v>
      </c>
      <c r="G110" s="96"/>
      <c r="H110" s="96">
        <v>0.49787083910111363</v>
      </c>
      <c r="I110" s="41"/>
      <c r="J110" s="96"/>
      <c r="K110" s="96"/>
      <c r="L110" s="96"/>
      <c r="M110" s="96"/>
    </row>
    <row r="111" spans="1:13">
      <c r="A111" s="95" t="s">
        <v>278</v>
      </c>
      <c r="B111" s="95" t="s">
        <v>278</v>
      </c>
      <c r="C111" s="95" t="s">
        <v>278</v>
      </c>
      <c r="D111" s="95" t="s">
        <v>278</v>
      </c>
      <c r="E111" s="97" t="s">
        <v>279</v>
      </c>
      <c r="F111" s="41" t="str">
        <f>"|"&amp;"|"&amp;"|"&amp;E111</f>
        <v>|||Greenspace</v>
      </c>
      <c r="G111" s="98"/>
      <c r="H111" s="96">
        <v>0.02</v>
      </c>
      <c r="I111" s="41"/>
      <c r="J111" s="41"/>
      <c r="K111" s="41"/>
      <c r="L111" s="41"/>
      <c r="M111" s="41"/>
    </row>
    <row r="112" spans="1:13">
      <c r="A112" s="95" t="s">
        <v>278</v>
      </c>
      <c r="B112" s="95" t="s">
        <v>278</v>
      </c>
      <c r="C112" s="95" t="s">
        <v>278</v>
      </c>
      <c r="D112" s="95" t="s">
        <v>278</v>
      </c>
      <c r="E112" s="97" t="s">
        <v>280</v>
      </c>
      <c r="F112" s="41" t="str">
        <f>"|"&amp;"|"&amp;"|"&amp;E112</f>
        <v>|||Community food growing</v>
      </c>
      <c r="G112" s="96"/>
      <c r="H112" s="99">
        <f>IFERROR(VLOOKUP((VLOOKUP(Nutrients_from_current_land_use!$B$5,Value_look_up_tables!$A$148:$B$148,2,FALSE)&amp;"|"&amp;"General"&amp;"|"&amp;"FALSE"&amp;"|"&amp;VLOOKUP(Nutrients_from_current_land_use!$B$7,Value_look_up_tables!$A$122:$C$144,3,FALSE)&amp;"|"&amp;"FreeDrain"),$F$15:$H$110,3,FALSE), IFERROR(VLOOKUP("General"&amp;"|"&amp;VLOOKUP(Nutrients_from_current_land_use!$B$7,Value_look_up_tables!$A$122:$C$144,3,FALSE),$I$15:$M$110,3,FALSE),VLOOKUP("General",$B$15:$M$110,12,FALSE)))</f>
        <v>0.51145028293621886</v>
      </c>
      <c r="I112" s="41"/>
      <c r="J112" s="41"/>
      <c r="K112" s="41"/>
      <c r="L112" s="41"/>
      <c r="M112" s="41"/>
    </row>
    <row r="113" spans="1:13">
      <c r="A113" s="95" t="s">
        <v>278</v>
      </c>
      <c r="B113" s="95" t="s">
        <v>278</v>
      </c>
      <c r="C113" s="95" t="s">
        <v>278</v>
      </c>
      <c r="D113" s="95" t="s">
        <v>278</v>
      </c>
      <c r="E113" s="97" t="s">
        <v>281</v>
      </c>
      <c r="F113" s="41" t="str">
        <f>"|"&amp;"|"&amp;"|"&amp;E113</f>
        <v>|||Woodland</v>
      </c>
      <c r="G113" s="98"/>
      <c r="H113" s="96">
        <v>0.02</v>
      </c>
      <c r="I113" s="41"/>
      <c r="J113" s="41"/>
      <c r="K113" s="41"/>
      <c r="L113" s="41"/>
      <c r="M113" s="41"/>
    </row>
    <row r="114" spans="1:13">
      <c r="A114" s="95" t="s">
        <v>278</v>
      </c>
      <c r="B114" s="95" t="s">
        <v>278</v>
      </c>
      <c r="C114" s="95" t="s">
        <v>278</v>
      </c>
      <c r="D114" s="95" t="s">
        <v>278</v>
      </c>
      <c r="E114" s="97" t="s">
        <v>282</v>
      </c>
      <c r="F114" s="41" t="str">
        <f>"|"&amp;"|"&amp;"|"&amp;E114</f>
        <v>|||Shrub</v>
      </c>
      <c r="G114" s="98"/>
      <c r="H114" s="96">
        <v>0.02</v>
      </c>
      <c r="I114" s="41"/>
      <c r="J114" s="41"/>
      <c r="K114" s="41"/>
      <c r="L114" s="41"/>
      <c r="M114" s="41"/>
    </row>
    <row r="115" spans="1:13">
      <c r="A115" s="95" t="s">
        <v>278</v>
      </c>
      <c r="B115" s="95" t="s">
        <v>278</v>
      </c>
      <c r="C115" s="95" t="s">
        <v>278</v>
      </c>
      <c r="D115" s="95" t="s">
        <v>278</v>
      </c>
      <c r="E115" s="97" t="s">
        <v>283</v>
      </c>
      <c r="F115" s="41" t="str">
        <f>"|"&amp;"|"&amp;"|"&amp;E115</f>
        <v>|||Water</v>
      </c>
      <c r="G115" s="98"/>
      <c r="H115" s="96">
        <v>0</v>
      </c>
      <c r="I115" s="41"/>
      <c r="J115" s="41"/>
      <c r="K115" s="41"/>
      <c r="L115" s="41"/>
      <c r="M115" s="41"/>
    </row>
    <row r="116" spans="1:13">
      <c r="A116" s="95" t="s">
        <v>278</v>
      </c>
      <c r="B116" s="95" t="s">
        <v>278</v>
      </c>
      <c r="C116" s="95" t="s">
        <v>278</v>
      </c>
      <c r="D116" s="95" t="s">
        <v>278</v>
      </c>
      <c r="E116" s="41" t="s">
        <v>284</v>
      </c>
      <c r="F116" s="41" t="str">
        <f t="shared" ref="F116:F118" si="0">"|"&amp;"|"&amp;"|"&amp;E116</f>
        <v>|||Residential urban land</v>
      </c>
      <c r="G116" s="96"/>
      <c r="H116" s="96" t="e">
        <f>VLOOKUP(Nutrients_from_current_land_use!B7,Value_look_up_tables!A122:I144,9,FALSE)</f>
        <v>#N/A</v>
      </c>
      <c r="I116" s="41"/>
      <c r="J116" s="41"/>
      <c r="K116" s="41"/>
      <c r="L116" s="41"/>
      <c r="M116" s="41"/>
    </row>
    <row r="117" spans="1:13" ht="28.5">
      <c r="A117" s="95" t="s">
        <v>278</v>
      </c>
      <c r="B117" s="95" t="s">
        <v>278</v>
      </c>
      <c r="C117" s="95" t="s">
        <v>278</v>
      </c>
      <c r="D117" s="95" t="s">
        <v>278</v>
      </c>
      <c r="E117" s="41" t="s">
        <v>285</v>
      </c>
      <c r="F117" s="41" t="str">
        <f t="shared" si="0"/>
        <v>|||Commercial/industrial urban land</v>
      </c>
      <c r="G117" s="96"/>
      <c r="H117" s="96" t="e">
        <f>VLOOKUP(Nutrients_from_current_land_use!B7,Value_look_up_tables!A122:K144,10,FALSE)</f>
        <v>#N/A</v>
      </c>
      <c r="I117" s="41"/>
      <c r="J117" s="41"/>
      <c r="K117" s="41"/>
      <c r="L117" s="41"/>
      <c r="M117" s="41"/>
    </row>
    <row r="118" spans="1:13">
      <c r="A118" s="95" t="s">
        <v>278</v>
      </c>
      <c r="B118" s="95" t="s">
        <v>278</v>
      </c>
      <c r="C118" s="95" t="s">
        <v>278</v>
      </c>
      <c r="D118" s="95" t="s">
        <v>278</v>
      </c>
      <c r="E118" s="41" t="s">
        <v>286</v>
      </c>
      <c r="F118" s="41" t="str">
        <f t="shared" si="0"/>
        <v>|||Open urban land</v>
      </c>
      <c r="G118" s="96"/>
      <c r="H118" s="96" t="e">
        <f>VLOOKUP(Nutrients_from_current_land_use!B7,Value_look_up_tables!A122:N144,11,FALSE)</f>
        <v>#N/A</v>
      </c>
      <c r="I118" s="41"/>
      <c r="J118" s="41"/>
      <c r="K118" s="41"/>
      <c r="L118" s="41"/>
      <c r="M118" s="41"/>
    </row>
    <row r="119" spans="1:13">
      <c r="A119" s="41"/>
      <c r="B119" s="41"/>
      <c r="C119" s="41"/>
      <c r="D119" s="41"/>
      <c r="E119" s="41"/>
      <c r="F119" s="41"/>
      <c r="G119" s="96"/>
      <c r="H119" s="96"/>
      <c r="I119" s="41"/>
      <c r="J119" s="41"/>
      <c r="K119" s="41"/>
      <c r="L119" s="41"/>
      <c r="M119" s="41"/>
    </row>
    <row r="120" spans="1:13" ht="36">
      <c r="A120" s="23" t="s">
        <v>287</v>
      </c>
      <c r="B120" s="41"/>
      <c r="C120" s="41"/>
      <c r="D120" s="41"/>
      <c r="E120" s="41"/>
      <c r="F120" s="41"/>
      <c r="G120" s="96"/>
      <c r="H120" s="96"/>
      <c r="I120" s="41"/>
      <c r="J120" s="41"/>
      <c r="K120" s="41"/>
      <c r="L120" s="41"/>
      <c r="M120" s="41"/>
    </row>
    <row r="121" spans="1:13" ht="75">
      <c r="A121" s="26" t="s">
        <v>288</v>
      </c>
      <c r="B121" s="26" t="s">
        <v>289</v>
      </c>
      <c r="C121" s="26" t="s">
        <v>290</v>
      </c>
      <c r="D121" s="26" t="s">
        <v>291</v>
      </c>
      <c r="E121" s="26" t="s">
        <v>292</v>
      </c>
      <c r="F121" s="26" t="s">
        <v>293</v>
      </c>
      <c r="G121" s="26" t="s">
        <v>294</v>
      </c>
      <c r="H121" s="26" t="s">
        <v>295</v>
      </c>
      <c r="I121" s="26" t="s">
        <v>296</v>
      </c>
      <c r="J121" s="26" t="s">
        <v>297</v>
      </c>
      <c r="K121" s="26" t="s">
        <v>298</v>
      </c>
      <c r="L121" s="26"/>
      <c r="M121" s="26"/>
    </row>
    <row r="122" spans="1:13">
      <c r="A122" s="17" t="s">
        <v>299</v>
      </c>
      <c r="B122" s="99">
        <v>516.5</v>
      </c>
      <c r="C122" s="17" t="s">
        <v>300</v>
      </c>
      <c r="D122" s="99">
        <v>47.366326420209788</v>
      </c>
      <c r="E122" s="99">
        <v>63.946326420209786</v>
      </c>
      <c r="F122" s="99">
        <v>1.0030530114375726</v>
      </c>
      <c r="G122" s="99">
        <v>0.73394122788115068</v>
      </c>
      <c r="H122" s="99">
        <v>0.5382235671128438</v>
      </c>
      <c r="I122" s="99">
        <v>1.0030530114375726</v>
      </c>
      <c r="J122" s="99">
        <v>0.73394122788115068</v>
      </c>
      <c r="K122" s="99">
        <v>0.5382235671128438</v>
      </c>
      <c r="L122" s="99"/>
      <c r="M122" s="99"/>
    </row>
    <row r="123" spans="1:13">
      <c r="A123" s="17" t="s">
        <v>301</v>
      </c>
      <c r="B123" s="99">
        <v>537.54999999999995</v>
      </c>
      <c r="C123" s="17" t="s">
        <v>300</v>
      </c>
      <c r="D123" s="99">
        <v>47.605509573313697</v>
      </c>
      <c r="E123" s="99">
        <v>64.185509573313695</v>
      </c>
      <c r="F123" s="99">
        <v>1.049204008516526</v>
      </c>
      <c r="G123" s="99">
        <v>0.76771025013404326</v>
      </c>
      <c r="H123" s="99">
        <v>0.56298751676496517</v>
      </c>
      <c r="I123" s="99">
        <v>1.049204008516526</v>
      </c>
      <c r="J123" s="99">
        <v>0.76771025013404326</v>
      </c>
      <c r="K123" s="99">
        <v>0.56298751676496517</v>
      </c>
      <c r="L123" s="99"/>
      <c r="M123" s="99"/>
    </row>
    <row r="124" spans="1:13">
      <c r="A124" s="17" t="s">
        <v>302</v>
      </c>
      <c r="B124" s="99">
        <v>562.54999999999995</v>
      </c>
      <c r="C124" s="17" t="s">
        <v>300</v>
      </c>
      <c r="D124" s="99">
        <v>47.8624816470968</v>
      </c>
      <c r="E124" s="99">
        <v>64.442481647096798</v>
      </c>
      <c r="F124" s="99">
        <v>1.1039266010735462</v>
      </c>
      <c r="G124" s="99">
        <v>0.80775117151722908</v>
      </c>
      <c r="H124" s="99">
        <v>0.59235085911263463</v>
      </c>
      <c r="I124" s="99">
        <v>1.1039266010735462</v>
      </c>
      <c r="J124" s="99">
        <v>0.80775117151722908</v>
      </c>
      <c r="K124" s="99">
        <v>0.59235085911263463</v>
      </c>
      <c r="L124" s="99"/>
      <c r="M124" s="99"/>
    </row>
    <row r="125" spans="1:13">
      <c r="A125" s="17" t="s">
        <v>303</v>
      </c>
      <c r="B125" s="99">
        <v>587.54999999999995</v>
      </c>
      <c r="C125" s="17" t="s">
        <v>300</v>
      </c>
      <c r="D125" s="99">
        <v>48.089720428979902</v>
      </c>
      <c r="E125" s="99">
        <v>64.6697204289799</v>
      </c>
      <c r="F125" s="99">
        <v>1.1584597247599329</v>
      </c>
      <c r="G125" s="99">
        <v>0.84765345714141427</v>
      </c>
      <c r="H125" s="99">
        <v>0.62161253523703719</v>
      </c>
      <c r="I125" s="99">
        <v>1.1584597247599329</v>
      </c>
      <c r="J125" s="99">
        <v>0.84765345714141427</v>
      </c>
      <c r="K125" s="99">
        <v>0.62161253523703719</v>
      </c>
      <c r="L125" s="99"/>
      <c r="M125" s="99"/>
    </row>
    <row r="126" spans="1:13">
      <c r="A126" s="17" t="s">
        <v>304</v>
      </c>
      <c r="B126" s="99">
        <v>612.54999999999995</v>
      </c>
      <c r="C126" s="17" t="s">
        <v>305</v>
      </c>
      <c r="D126" s="99">
        <v>48.286892468962989</v>
      </c>
      <c r="E126" s="99">
        <v>64.866892468962988</v>
      </c>
      <c r="F126" s="99">
        <v>1.2127035752563942</v>
      </c>
      <c r="G126" s="99">
        <v>0.88734407945589822</v>
      </c>
      <c r="H126" s="99">
        <v>0.650718991600992</v>
      </c>
      <c r="I126" s="99">
        <v>1.2127035752563942</v>
      </c>
      <c r="J126" s="99">
        <v>0.88734407945589822</v>
      </c>
      <c r="K126" s="99">
        <v>0.650718991600992</v>
      </c>
      <c r="L126" s="99"/>
      <c r="M126" s="99"/>
    </row>
    <row r="127" spans="1:13">
      <c r="A127" s="17" t="s">
        <v>306</v>
      </c>
      <c r="B127" s="99">
        <v>637.54999999999995</v>
      </c>
      <c r="C127" s="17" t="s">
        <v>305</v>
      </c>
      <c r="D127" s="99">
        <v>48.453664317046091</v>
      </c>
      <c r="E127" s="99">
        <v>65.033664317046089</v>
      </c>
      <c r="F127" s="99">
        <v>1.2665569810986419</v>
      </c>
      <c r="G127" s="99">
        <v>0.92674901055998193</v>
      </c>
      <c r="H127" s="99">
        <v>0.67961594107732015</v>
      </c>
      <c r="I127" s="99">
        <v>1.2665569810986419</v>
      </c>
      <c r="J127" s="99">
        <v>0.92674901055998193</v>
      </c>
      <c r="K127" s="99">
        <v>0.67961594107732015</v>
      </c>
      <c r="L127" s="99"/>
      <c r="M127" s="99"/>
    </row>
    <row r="128" spans="1:13">
      <c r="A128" s="17" t="s">
        <v>307</v>
      </c>
      <c r="B128" s="99">
        <v>662.55</v>
      </c>
      <c r="C128" s="17" t="s">
        <v>305</v>
      </c>
      <c r="D128" s="99">
        <v>48.589702523229192</v>
      </c>
      <c r="E128" s="99">
        <v>65.169702523229191</v>
      </c>
      <c r="F128" s="99">
        <v>1.3199174036773855</v>
      </c>
      <c r="G128" s="99">
        <v>0.96579322220296504</v>
      </c>
      <c r="H128" s="99">
        <v>0.70824836294884108</v>
      </c>
      <c r="I128" s="99">
        <v>1.3199174036773855</v>
      </c>
      <c r="J128" s="99">
        <v>0.96579322220296504</v>
      </c>
      <c r="K128" s="99">
        <v>0.70824836294884108</v>
      </c>
      <c r="L128" s="99"/>
      <c r="M128" s="99"/>
    </row>
    <row r="129" spans="1:13">
      <c r="A129" s="17" t="s">
        <v>308</v>
      </c>
      <c r="B129" s="99">
        <v>687.55</v>
      </c>
      <c r="C129" s="17" t="s">
        <v>305</v>
      </c>
      <c r="D129" s="99">
        <v>48.694673637512295</v>
      </c>
      <c r="E129" s="99">
        <v>65.274673637512294</v>
      </c>
      <c r="F129" s="99">
        <v>1.3726809372383346</v>
      </c>
      <c r="G129" s="99">
        <v>1.0044006857841474</v>
      </c>
      <c r="H129" s="99">
        <v>0.73656050290837471</v>
      </c>
      <c r="I129" s="99">
        <v>1.3726809372383346</v>
      </c>
      <c r="J129" s="99">
        <v>1.0044006857841474</v>
      </c>
      <c r="K129" s="99">
        <v>0.73656050290837471</v>
      </c>
      <c r="L129" s="99"/>
      <c r="M129" s="99"/>
    </row>
    <row r="130" spans="1:13">
      <c r="A130" s="17" t="s">
        <v>309</v>
      </c>
      <c r="B130" s="99">
        <v>725.05</v>
      </c>
      <c r="C130" s="17" t="s">
        <v>310</v>
      </c>
      <c r="D130" s="99">
        <v>48.793150089749446</v>
      </c>
      <c r="E130" s="99">
        <v>65.373150089749444</v>
      </c>
      <c r="F130" s="99">
        <v>1.4504764123754863</v>
      </c>
      <c r="G130" s="99">
        <v>1.0613242041771849</v>
      </c>
      <c r="H130" s="99">
        <v>0.77830441639660242</v>
      </c>
      <c r="I130" s="99">
        <v>1.4504764123754863</v>
      </c>
      <c r="J130" s="99">
        <v>1.0613242041771849</v>
      </c>
      <c r="K130" s="99">
        <v>0.77830441639660242</v>
      </c>
      <c r="L130" s="99"/>
      <c r="M130" s="99"/>
    </row>
    <row r="131" spans="1:13">
      <c r="A131" s="17" t="s">
        <v>311</v>
      </c>
      <c r="B131" s="99">
        <v>775.05</v>
      </c>
      <c r="C131" s="17" t="s">
        <v>310</v>
      </c>
      <c r="D131" s="99">
        <v>48.817999999999984</v>
      </c>
      <c r="E131" s="99">
        <v>65.397999999999982</v>
      </c>
      <c r="F131" s="99">
        <v>1.5512920268999992</v>
      </c>
      <c r="G131" s="99">
        <v>1.1350917269999994</v>
      </c>
      <c r="H131" s="99">
        <v>0.83240059979999959</v>
      </c>
      <c r="I131" s="99">
        <v>1.5512920268999992</v>
      </c>
      <c r="J131" s="99">
        <v>1.1350917269999994</v>
      </c>
      <c r="K131" s="99">
        <v>0.83240059979999959</v>
      </c>
      <c r="L131" s="99"/>
      <c r="M131" s="99"/>
    </row>
    <row r="132" spans="1:13">
      <c r="A132" s="17" t="s">
        <v>312</v>
      </c>
      <c r="B132" s="99">
        <v>825.05</v>
      </c>
      <c r="C132" s="17" t="s">
        <v>310</v>
      </c>
      <c r="D132" s="99">
        <v>48.817999999999984</v>
      </c>
      <c r="E132" s="99">
        <v>65.397999999999982</v>
      </c>
      <c r="F132" s="99">
        <v>1.6513689268999994</v>
      </c>
      <c r="G132" s="99">
        <v>1.2083187269999995</v>
      </c>
      <c r="H132" s="99">
        <v>0.88610039979999966</v>
      </c>
      <c r="I132" s="99">
        <v>1.6513689268999994</v>
      </c>
      <c r="J132" s="99">
        <v>1.2083187269999995</v>
      </c>
      <c r="K132" s="99">
        <v>0.88610039979999966</v>
      </c>
      <c r="L132" s="99"/>
      <c r="M132" s="99"/>
    </row>
    <row r="133" spans="1:13">
      <c r="A133" s="17" t="s">
        <v>313</v>
      </c>
      <c r="B133" s="99">
        <v>875.05</v>
      </c>
      <c r="C133" s="17" t="s">
        <v>310</v>
      </c>
      <c r="D133" s="99">
        <v>48.817999999999984</v>
      </c>
      <c r="E133" s="99">
        <v>65.397999999999982</v>
      </c>
      <c r="F133" s="99">
        <v>1.7514458268999995</v>
      </c>
      <c r="G133" s="99">
        <v>1.2815457269999997</v>
      </c>
      <c r="H133" s="99">
        <v>0.93980019979999974</v>
      </c>
      <c r="I133" s="99">
        <v>1.7514458268999995</v>
      </c>
      <c r="J133" s="99">
        <v>1.2815457269999997</v>
      </c>
      <c r="K133" s="99">
        <v>0.93980019979999974</v>
      </c>
      <c r="L133" s="99"/>
      <c r="M133" s="99"/>
    </row>
    <row r="134" spans="1:13">
      <c r="A134" s="17" t="s">
        <v>314</v>
      </c>
      <c r="B134" s="99">
        <v>925.05</v>
      </c>
      <c r="C134" s="17" t="s">
        <v>146</v>
      </c>
      <c r="D134" s="99">
        <v>48.817999999999984</v>
      </c>
      <c r="E134" s="99">
        <v>65.397999999999982</v>
      </c>
      <c r="F134" s="99">
        <v>1.851522726899999</v>
      </c>
      <c r="G134" s="99">
        <v>1.3547727269999992</v>
      </c>
      <c r="H134" s="99">
        <v>0.99349999979999948</v>
      </c>
      <c r="I134" s="99">
        <v>1.851522726899999</v>
      </c>
      <c r="J134" s="99">
        <v>1.3547727269999992</v>
      </c>
      <c r="K134" s="99">
        <v>0.99349999979999948</v>
      </c>
      <c r="L134" s="99"/>
      <c r="M134" s="99"/>
    </row>
    <row r="135" spans="1:13">
      <c r="A135" s="17" t="s">
        <v>315</v>
      </c>
      <c r="B135" s="99">
        <v>975.05</v>
      </c>
      <c r="C135" s="17" t="s">
        <v>146</v>
      </c>
      <c r="D135" s="99">
        <v>48.817999999999984</v>
      </c>
      <c r="E135" s="99">
        <v>65.397999999999982</v>
      </c>
      <c r="F135" s="99">
        <v>1.9515996268999991</v>
      </c>
      <c r="G135" s="99">
        <v>1.4279997269999993</v>
      </c>
      <c r="H135" s="99">
        <v>1.0471997997999996</v>
      </c>
      <c r="I135" s="99">
        <v>1.9515996268999991</v>
      </c>
      <c r="J135" s="99">
        <v>1.4279997269999993</v>
      </c>
      <c r="K135" s="99">
        <v>1.0471997997999996</v>
      </c>
      <c r="L135" s="99"/>
      <c r="M135" s="99"/>
    </row>
    <row r="136" spans="1:13">
      <c r="A136" s="17" t="s">
        <v>316</v>
      </c>
      <c r="B136" s="99">
        <v>1050.05</v>
      </c>
      <c r="C136" s="17" t="s">
        <v>146</v>
      </c>
      <c r="D136" s="99">
        <v>48.817999999999984</v>
      </c>
      <c r="E136" s="99">
        <v>65.397999999999982</v>
      </c>
      <c r="F136" s="99">
        <v>2.101714976899999</v>
      </c>
      <c r="G136" s="99">
        <v>1.5378402269999993</v>
      </c>
      <c r="H136" s="99">
        <v>1.1277494997999997</v>
      </c>
      <c r="I136" s="99">
        <v>2.101714976899999</v>
      </c>
      <c r="J136" s="99">
        <v>1.5378402269999993</v>
      </c>
      <c r="K136" s="99">
        <v>1.1277494997999997</v>
      </c>
      <c r="L136" s="99"/>
      <c r="M136" s="99"/>
    </row>
    <row r="137" spans="1:13">
      <c r="A137" s="17" t="s">
        <v>317</v>
      </c>
      <c r="B137" s="99">
        <v>1150.05</v>
      </c>
      <c r="C137" s="17" t="s">
        <v>146</v>
      </c>
      <c r="D137" s="99">
        <v>48.817999999999984</v>
      </c>
      <c r="E137" s="99">
        <v>65.397999999999982</v>
      </c>
      <c r="F137" s="99">
        <v>2.3018687768999988</v>
      </c>
      <c r="G137" s="99">
        <v>1.6842942269999992</v>
      </c>
      <c r="H137" s="99">
        <v>1.2351490997999994</v>
      </c>
      <c r="I137" s="99">
        <v>2.3018687768999988</v>
      </c>
      <c r="J137" s="99">
        <v>1.6842942269999992</v>
      </c>
      <c r="K137" s="99">
        <v>1.2351490997999994</v>
      </c>
      <c r="L137" s="99"/>
      <c r="M137" s="99"/>
    </row>
    <row r="138" spans="1:13">
      <c r="A138" s="17" t="s">
        <v>318</v>
      </c>
      <c r="B138" s="99">
        <v>1300.05</v>
      </c>
      <c r="C138" s="17" t="s">
        <v>152</v>
      </c>
      <c r="D138" s="99">
        <v>48.817999999999984</v>
      </c>
      <c r="E138" s="99">
        <v>65.397999999999982</v>
      </c>
      <c r="F138" s="99">
        <v>2.602099476899999</v>
      </c>
      <c r="G138" s="99">
        <v>1.9039752269999992</v>
      </c>
      <c r="H138" s="99">
        <v>1.3962484997999995</v>
      </c>
      <c r="I138" s="99">
        <v>2.602099476899999</v>
      </c>
      <c r="J138" s="99">
        <v>1.9039752269999992</v>
      </c>
      <c r="K138" s="99">
        <v>1.3962484997999995</v>
      </c>
      <c r="L138" s="99"/>
      <c r="M138" s="99"/>
    </row>
    <row r="139" spans="1:13">
      <c r="A139" s="17" t="s">
        <v>319</v>
      </c>
      <c r="B139" s="99">
        <v>1500.05</v>
      </c>
      <c r="C139" s="17" t="s">
        <v>152</v>
      </c>
      <c r="D139" s="99">
        <v>48.817999999999984</v>
      </c>
      <c r="E139" s="99">
        <v>65.397999999999982</v>
      </c>
      <c r="F139" s="99">
        <v>3.0024070768999986</v>
      </c>
      <c r="G139" s="99">
        <v>2.1968832269999989</v>
      </c>
      <c r="H139" s="99">
        <v>1.6110476997999994</v>
      </c>
      <c r="I139" s="99">
        <v>3.0024070768999986</v>
      </c>
      <c r="J139" s="99">
        <v>2.1968832269999989</v>
      </c>
      <c r="K139" s="99">
        <v>1.6110476997999994</v>
      </c>
      <c r="L139" s="99"/>
      <c r="M139" s="99"/>
    </row>
    <row r="140" spans="1:13">
      <c r="A140" s="17" t="s">
        <v>320</v>
      </c>
      <c r="B140" s="99">
        <v>1800.05</v>
      </c>
      <c r="C140" s="17" t="s">
        <v>158</v>
      </c>
      <c r="D140" s="99">
        <v>48.817999999999984</v>
      </c>
      <c r="E140" s="99">
        <v>65.397999999999982</v>
      </c>
      <c r="F140" s="99">
        <v>3.6028684768999981</v>
      </c>
      <c r="G140" s="99">
        <v>2.6362452269999985</v>
      </c>
      <c r="H140" s="99">
        <v>1.9332464997999992</v>
      </c>
      <c r="I140" s="99">
        <v>3.6028684768999981</v>
      </c>
      <c r="J140" s="99">
        <v>2.6362452269999985</v>
      </c>
      <c r="K140" s="99">
        <v>1.9332464997999992</v>
      </c>
      <c r="L140" s="99"/>
      <c r="M140" s="99"/>
    </row>
    <row r="141" spans="1:13">
      <c r="A141" s="17" t="s">
        <v>321</v>
      </c>
      <c r="B141" s="99">
        <v>2200.0500000000002</v>
      </c>
      <c r="C141" s="17" t="s">
        <v>158</v>
      </c>
      <c r="D141" s="99">
        <v>48.817999999999984</v>
      </c>
      <c r="E141" s="99">
        <v>65.397999999999982</v>
      </c>
      <c r="F141" s="99">
        <v>4.4034836768999988</v>
      </c>
      <c r="G141" s="99">
        <v>3.2220612269999993</v>
      </c>
      <c r="H141" s="99">
        <v>2.3628448997999998</v>
      </c>
      <c r="I141" s="99">
        <v>4.4034836768999988</v>
      </c>
      <c r="J141" s="99">
        <v>3.2220612269999993</v>
      </c>
      <c r="K141" s="99">
        <v>2.3628448997999998</v>
      </c>
      <c r="L141" s="99"/>
      <c r="M141" s="99"/>
    </row>
    <row r="142" spans="1:13">
      <c r="A142" s="17" t="s">
        <v>322</v>
      </c>
      <c r="B142" s="99">
        <v>2700.05</v>
      </c>
      <c r="C142" s="17" t="s">
        <v>158</v>
      </c>
      <c r="D142" s="99">
        <v>48.817999999999984</v>
      </c>
      <c r="E142" s="99">
        <v>65.397999999999982</v>
      </c>
      <c r="F142" s="99">
        <v>5.4042526768999988</v>
      </c>
      <c r="G142" s="99">
        <v>3.9543312269999986</v>
      </c>
      <c r="H142" s="99">
        <v>2.8998428997999994</v>
      </c>
      <c r="I142" s="99">
        <v>5.4042526768999988</v>
      </c>
      <c r="J142" s="99">
        <v>3.9543312269999986</v>
      </c>
      <c r="K142" s="99">
        <v>2.8998428997999994</v>
      </c>
      <c r="L142" s="99"/>
      <c r="M142" s="99"/>
    </row>
    <row r="143" spans="1:13">
      <c r="A143" s="17" t="s">
        <v>323</v>
      </c>
      <c r="B143" s="99">
        <v>3500.05</v>
      </c>
      <c r="C143" s="17" t="s">
        <v>158</v>
      </c>
      <c r="D143" s="99">
        <v>48.817999999999984</v>
      </c>
      <c r="E143" s="99">
        <v>65.397999999999982</v>
      </c>
      <c r="F143" s="99">
        <v>7.0054830768999983</v>
      </c>
      <c r="G143" s="99">
        <v>5.1259632269999988</v>
      </c>
      <c r="H143" s="99">
        <v>3.7590396997999993</v>
      </c>
      <c r="I143" s="99">
        <v>7.0054830768999983</v>
      </c>
      <c r="J143" s="99">
        <v>5.1259632269999988</v>
      </c>
      <c r="K143" s="99">
        <v>3.7590396997999993</v>
      </c>
      <c r="L143" s="99"/>
      <c r="M143" s="99"/>
    </row>
    <row r="144" spans="1:13">
      <c r="A144" s="17" t="s">
        <v>324</v>
      </c>
      <c r="B144" s="99">
        <v>4750.05</v>
      </c>
      <c r="C144" s="17" t="s">
        <v>158</v>
      </c>
      <c r="D144" s="99">
        <v>48.817999999999984</v>
      </c>
      <c r="E144" s="99">
        <v>65.397999999999982</v>
      </c>
      <c r="F144" s="99">
        <v>9.5074055768999965</v>
      </c>
      <c r="G144" s="99">
        <v>6.9566382269999973</v>
      </c>
      <c r="H144" s="99">
        <v>5.1015346997999984</v>
      </c>
      <c r="I144" s="99">
        <v>9.5074055768999965</v>
      </c>
      <c r="J144" s="99">
        <v>6.9566382269999973</v>
      </c>
      <c r="K144" s="99">
        <v>5.1015346997999984</v>
      </c>
      <c r="L144" s="99"/>
      <c r="M144" s="99"/>
    </row>
    <row r="145" spans="1:13">
      <c r="A145" s="41"/>
      <c r="B145" s="41"/>
      <c r="C145" s="41"/>
      <c r="D145" s="41"/>
      <c r="E145" s="41"/>
      <c r="F145" s="41"/>
      <c r="G145" s="96"/>
      <c r="H145" s="96"/>
      <c r="I145" s="41"/>
      <c r="J145" s="41"/>
      <c r="K145" s="41"/>
      <c r="L145" s="41"/>
      <c r="M145" s="41"/>
    </row>
    <row r="146" spans="1:13" ht="36">
      <c r="A146" s="23" t="s">
        <v>325</v>
      </c>
      <c r="B146" s="41"/>
      <c r="C146" s="41"/>
      <c r="D146" s="41"/>
      <c r="F146" s="41"/>
      <c r="H146" s="96"/>
      <c r="J146" s="41"/>
      <c r="K146" s="41"/>
      <c r="L146" s="41"/>
      <c r="M146" s="41"/>
    </row>
    <row r="147" spans="1:13" ht="30">
      <c r="A147" s="26" t="s">
        <v>326</v>
      </c>
      <c r="B147" s="26" t="s">
        <v>327</v>
      </c>
      <c r="C147" s="41"/>
      <c r="D147" s="41"/>
      <c r="F147" s="41"/>
      <c r="H147" s="96"/>
      <c r="J147" s="41"/>
      <c r="K147" s="41"/>
      <c r="L147" s="41"/>
      <c r="M147" s="41"/>
    </row>
    <row r="148" spans="1:13">
      <c r="A148" s="41" t="s">
        <v>144</v>
      </c>
      <c r="B148" s="41" t="s">
        <v>144</v>
      </c>
      <c r="C148" s="41"/>
      <c r="D148" s="41"/>
      <c r="F148" s="41"/>
      <c r="H148" s="96"/>
      <c r="J148" s="41"/>
      <c r="K148" s="41"/>
      <c r="L148" s="41"/>
      <c r="M148" s="41"/>
    </row>
    <row r="149" spans="1:13">
      <c r="A149" s="41"/>
      <c r="B149" s="41"/>
      <c r="C149" s="41"/>
      <c r="D149" s="41"/>
      <c r="F149" s="41"/>
      <c r="H149" s="96"/>
      <c r="I149" s="41"/>
      <c r="J149" s="41"/>
      <c r="K149" s="41"/>
      <c r="L149" s="41"/>
      <c r="M149" s="41"/>
    </row>
    <row r="150" spans="1:13" ht="36">
      <c r="A150" s="23" t="s">
        <v>328</v>
      </c>
      <c r="B150" s="41"/>
      <c r="C150" s="41"/>
      <c r="D150" s="41"/>
      <c r="F150" s="17"/>
      <c r="H150" s="41"/>
      <c r="I150" s="41"/>
      <c r="J150" s="41"/>
      <c r="K150" s="41"/>
      <c r="L150" s="41"/>
      <c r="M150" s="41"/>
    </row>
    <row r="151" spans="1:13" ht="30">
      <c r="A151" s="26" t="s">
        <v>329</v>
      </c>
      <c r="B151" s="26" t="s">
        <v>330</v>
      </c>
      <c r="C151" s="26" t="s">
        <v>331</v>
      </c>
      <c r="D151" s="41"/>
      <c r="F151" s="41"/>
      <c r="H151" s="41"/>
      <c r="I151" s="41"/>
      <c r="J151" s="41"/>
      <c r="K151" s="41"/>
      <c r="L151" s="41"/>
      <c r="M151" s="41"/>
    </row>
    <row r="152" spans="1:13">
      <c r="A152" s="100" t="s">
        <v>332</v>
      </c>
      <c r="B152" s="41" t="s">
        <v>147</v>
      </c>
      <c r="C152" s="41" t="s">
        <v>333</v>
      </c>
      <c r="D152" s="41"/>
      <c r="F152" s="41"/>
      <c r="H152" s="41"/>
      <c r="I152" s="41"/>
      <c r="J152" s="41"/>
      <c r="K152" s="41"/>
      <c r="L152" s="41"/>
      <c r="M152" s="41"/>
    </row>
    <row r="153" spans="1:13" ht="28.5">
      <c r="A153" s="100" t="s">
        <v>334</v>
      </c>
      <c r="B153" s="41" t="s">
        <v>150</v>
      </c>
      <c r="C153" s="41" t="s">
        <v>335</v>
      </c>
      <c r="D153" s="41"/>
      <c r="F153" s="41"/>
      <c r="H153" s="41"/>
      <c r="I153" s="41"/>
      <c r="J153" s="41"/>
      <c r="K153" s="41"/>
      <c r="L153" s="41"/>
      <c r="M153" s="41"/>
    </row>
    <row r="154" spans="1:13" ht="42.75">
      <c r="A154" s="100" t="s">
        <v>336</v>
      </c>
      <c r="B154" s="41" t="s">
        <v>156</v>
      </c>
      <c r="C154" s="41" t="s">
        <v>337</v>
      </c>
      <c r="D154" s="41"/>
      <c r="F154" s="41"/>
      <c r="H154" s="41"/>
      <c r="I154" s="41"/>
      <c r="J154" s="41"/>
      <c r="K154" s="41"/>
      <c r="L154" s="41"/>
      <c r="M154" s="41"/>
    </row>
    <row r="155" spans="1:13" ht="28.5">
      <c r="A155" s="41" t="s">
        <v>338</v>
      </c>
      <c r="B155" s="41" t="s">
        <v>150</v>
      </c>
      <c r="C155" s="41" t="s">
        <v>335</v>
      </c>
      <c r="D155" s="41"/>
      <c r="F155" s="41"/>
      <c r="H155" s="41"/>
      <c r="I155" s="41"/>
      <c r="J155" s="41"/>
      <c r="K155" s="41"/>
      <c r="L155" s="41"/>
      <c r="M155" s="41"/>
    </row>
    <row r="156" spans="1:13" ht="28.5">
      <c r="A156" s="41" t="s">
        <v>339</v>
      </c>
      <c r="B156" s="41" t="s">
        <v>150</v>
      </c>
      <c r="C156" s="41" t="s">
        <v>335</v>
      </c>
      <c r="D156" s="41"/>
      <c r="F156" s="41"/>
      <c r="H156" s="41"/>
      <c r="I156" s="97"/>
      <c r="J156" s="41"/>
      <c r="K156" s="41"/>
      <c r="L156" s="41"/>
      <c r="M156" s="41"/>
    </row>
    <row r="157" spans="1:13" ht="28.5">
      <c r="A157" s="100" t="s">
        <v>340</v>
      </c>
      <c r="B157" s="41" t="s">
        <v>150</v>
      </c>
      <c r="C157" s="41" t="s">
        <v>335</v>
      </c>
      <c r="D157" s="41"/>
      <c r="F157" s="41"/>
      <c r="H157" s="41"/>
      <c r="I157" s="97"/>
      <c r="J157" s="41"/>
      <c r="K157" s="41"/>
      <c r="L157" s="41"/>
      <c r="M157" s="41"/>
    </row>
    <row r="158" spans="1:13">
      <c r="A158" s="41"/>
      <c r="B158" s="96"/>
      <c r="C158" s="41"/>
      <c r="D158" s="41"/>
      <c r="F158" s="41"/>
      <c r="H158" s="41"/>
      <c r="I158" s="97"/>
      <c r="J158" s="41"/>
      <c r="K158" s="41"/>
      <c r="L158" s="41"/>
      <c r="M158" s="41"/>
    </row>
    <row r="159" spans="1:13" ht="36">
      <c r="A159" s="23" t="s">
        <v>341</v>
      </c>
      <c r="B159" s="96"/>
      <c r="C159" s="41"/>
      <c r="D159" s="41"/>
      <c r="F159" s="41"/>
      <c r="H159" s="41"/>
      <c r="I159" s="97"/>
      <c r="J159" s="41"/>
      <c r="K159" s="41"/>
      <c r="L159" s="41"/>
      <c r="M159" s="41"/>
    </row>
    <row r="160" spans="1:13" ht="30">
      <c r="A160" s="62" t="s">
        <v>133</v>
      </c>
      <c r="B160" s="62" t="s">
        <v>327</v>
      </c>
      <c r="C160" s="41"/>
      <c r="D160" s="41"/>
      <c r="F160" s="41"/>
      <c r="H160" s="41"/>
      <c r="I160" s="41"/>
      <c r="J160" s="41"/>
      <c r="K160" s="41"/>
      <c r="L160" s="41"/>
      <c r="M160" s="41"/>
    </row>
    <row r="161" spans="1:13">
      <c r="A161" s="41" t="s">
        <v>342</v>
      </c>
      <c r="B161" s="96" t="b">
        <v>1</v>
      </c>
      <c r="C161" s="41"/>
      <c r="D161" s="41"/>
      <c r="F161" s="41"/>
      <c r="H161" s="41"/>
      <c r="I161" s="41"/>
      <c r="J161" s="41"/>
      <c r="K161" s="41"/>
      <c r="L161" s="41"/>
      <c r="M161" s="41"/>
    </row>
    <row r="162" spans="1:13">
      <c r="A162" s="41" t="s">
        <v>343</v>
      </c>
      <c r="B162" s="96" t="b">
        <v>0</v>
      </c>
      <c r="C162" s="41"/>
      <c r="D162" s="41"/>
      <c r="F162" s="41"/>
      <c r="H162" s="41"/>
      <c r="I162" s="41"/>
      <c r="J162" s="41"/>
      <c r="K162" s="41"/>
      <c r="L162" s="41"/>
      <c r="M162" s="41"/>
    </row>
    <row r="163" spans="1:13">
      <c r="A163" s="41"/>
      <c r="B163" s="96"/>
      <c r="C163" s="96"/>
      <c r="D163" s="41"/>
      <c r="F163" s="41"/>
    </row>
    <row r="164" spans="1:13" ht="36">
      <c r="A164" s="23" t="s">
        <v>344</v>
      </c>
      <c r="B164" s="96"/>
      <c r="C164" s="96"/>
      <c r="D164" s="41"/>
    </row>
    <row r="165" spans="1:13" ht="15">
      <c r="A165" s="62" t="s">
        <v>345</v>
      </c>
      <c r="D165" s="41"/>
    </row>
    <row r="166" spans="1:13">
      <c r="A166" s="41" t="s">
        <v>220</v>
      </c>
      <c r="D166" s="41"/>
      <c r="E166" s="41"/>
      <c r="F166" s="41"/>
      <c r="G166" s="96"/>
      <c r="H166" s="96"/>
    </row>
    <row r="167" spans="1:13">
      <c r="A167" s="41" t="s">
        <v>145</v>
      </c>
      <c r="D167" s="41"/>
      <c r="E167" s="41"/>
      <c r="F167" s="41"/>
      <c r="G167" s="96"/>
      <c r="H167" s="96"/>
    </row>
    <row r="168" spans="1:13">
      <c r="A168" s="41" t="s">
        <v>233</v>
      </c>
      <c r="D168" s="41"/>
      <c r="E168" s="41"/>
      <c r="F168" s="41"/>
      <c r="G168" s="96"/>
      <c r="H168" s="96"/>
    </row>
    <row r="169" spans="1:13">
      <c r="A169" s="41" t="s">
        <v>240</v>
      </c>
      <c r="D169" s="41"/>
      <c r="E169" s="41"/>
      <c r="F169" s="41"/>
      <c r="G169" s="96"/>
      <c r="H169" s="96"/>
    </row>
    <row r="170" spans="1:13">
      <c r="A170" s="41" t="s">
        <v>171</v>
      </c>
      <c r="D170" s="41"/>
      <c r="E170" s="41"/>
      <c r="F170" s="41"/>
      <c r="G170" s="96"/>
      <c r="H170" s="96"/>
    </row>
    <row r="171" spans="1:13">
      <c r="A171" s="41" t="s">
        <v>180</v>
      </c>
      <c r="D171" s="41"/>
      <c r="E171" s="41"/>
      <c r="F171" s="41"/>
      <c r="G171" s="96"/>
      <c r="H171" s="96"/>
    </row>
    <row r="172" spans="1:13">
      <c r="A172" s="41" t="s">
        <v>190</v>
      </c>
      <c r="D172" s="41"/>
      <c r="E172" s="41"/>
      <c r="F172" s="41"/>
      <c r="G172" s="96"/>
      <c r="H172" s="96"/>
    </row>
    <row r="173" spans="1:13">
      <c r="A173" s="41" t="s">
        <v>202</v>
      </c>
      <c r="D173" s="41"/>
      <c r="E173" s="41"/>
      <c r="F173" s="41"/>
      <c r="G173" s="96"/>
      <c r="H173" s="96"/>
    </row>
    <row r="174" spans="1:13">
      <c r="A174" s="41" t="s">
        <v>212</v>
      </c>
      <c r="D174" s="41"/>
      <c r="E174" s="41"/>
      <c r="F174" s="41"/>
      <c r="G174" s="96"/>
      <c r="H174" s="96"/>
    </row>
    <row r="175" spans="1:13">
      <c r="A175" s="97" t="s">
        <v>279</v>
      </c>
      <c r="D175" s="41"/>
      <c r="E175" s="41"/>
      <c r="F175" s="41"/>
      <c r="G175" s="96"/>
      <c r="H175" s="96"/>
    </row>
    <row r="176" spans="1:13">
      <c r="A176" s="97" t="s">
        <v>281</v>
      </c>
      <c r="D176" s="41"/>
      <c r="E176" s="41"/>
      <c r="F176" s="41"/>
      <c r="G176" s="96"/>
      <c r="H176" s="96"/>
    </row>
    <row r="177" spans="1:8">
      <c r="A177" s="97" t="s">
        <v>282</v>
      </c>
      <c r="D177" s="41"/>
      <c r="E177" s="41"/>
      <c r="F177" s="41"/>
      <c r="G177" s="96"/>
      <c r="H177" s="96"/>
    </row>
    <row r="178" spans="1:8">
      <c r="A178" s="97" t="s">
        <v>283</v>
      </c>
      <c r="D178" s="41"/>
      <c r="E178" s="41"/>
      <c r="F178" s="41"/>
      <c r="G178" s="96"/>
      <c r="H178" s="96"/>
    </row>
    <row r="179" spans="1:8">
      <c r="A179" s="41" t="s">
        <v>284</v>
      </c>
      <c r="D179" s="41"/>
      <c r="E179" s="41"/>
      <c r="F179" s="41"/>
      <c r="G179" s="96"/>
      <c r="H179" s="96"/>
    </row>
    <row r="180" spans="1:8">
      <c r="A180" s="41" t="s">
        <v>285</v>
      </c>
      <c r="D180" s="41"/>
      <c r="E180" s="41"/>
      <c r="F180" s="41"/>
      <c r="G180" s="96"/>
      <c r="H180" s="96"/>
    </row>
    <row r="181" spans="1:8">
      <c r="A181" s="41" t="s">
        <v>286</v>
      </c>
      <c r="D181" s="41"/>
      <c r="E181" s="41"/>
      <c r="F181" s="41"/>
      <c r="G181" s="96"/>
      <c r="H181" s="96"/>
    </row>
    <row r="182" spans="1:8">
      <c r="A182" s="94" t="s">
        <v>280</v>
      </c>
      <c r="D182" s="41"/>
      <c r="E182" s="41"/>
      <c r="F182" s="41"/>
      <c r="G182" s="96"/>
      <c r="H182" s="96"/>
    </row>
    <row r="184" spans="1:8" ht="36">
      <c r="A184" s="23" t="s">
        <v>346</v>
      </c>
    </row>
    <row r="185" spans="1:8" ht="15">
      <c r="A185" s="62" t="s">
        <v>347</v>
      </c>
    </row>
    <row r="186" spans="1:8">
      <c r="A186" s="41" t="s">
        <v>145</v>
      </c>
    </row>
    <row r="187" spans="1:8">
      <c r="A187" s="41" t="s">
        <v>233</v>
      </c>
    </row>
    <row r="188" spans="1:8">
      <c r="A188" s="41" t="s">
        <v>171</v>
      </c>
    </row>
    <row r="189" spans="1:8">
      <c r="A189" s="41" t="s">
        <v>180</v>
      </c>
    </row>
    <row r="190" spans="1:8">
      <c r="A190" s="41" t="s">
        <v>190</v>
      </c>
    </row>
    <row r="191" spans="1:8">
      <c r="A191" s="41" t="s">
        <v>202</v>
      </c>
    </row>
    <row r="192" spans="1:8">
      <c r="A192" s="41" t="s">
        <v>212</v>
      </c>
    </row>
    <row r="193" spans="1:1">
      <c r="A193" s="41" t="s">
        <v>279</v>
      </c>
    </row>
    <row r="194" spans="1:1">
      <c r="A194" s="97" t="s">
        <v>281</v>
      </c>
    </row>
    <row r="195" spans="1:1">
      <c r="A195" s="97" t="s">
        <v>282</v>
      </c>
    </row>
    <row r="196" spans="1:1">
      <c r="A196" s="97" t="s">
        <v>283</v>
      </c>
    </row>
    <row r="197" spans="1:1">
      <c r="A197" s="97" t="s">
        <v>284</v>
      </c>
    </row>
    <row r="198" spans="1:1">
      <c r="A198" s="41" t="s">
        <v>285</v>
      </c>
    </row>
    <row r="199" spans="1:1">
      <c r="A199" s="41" t="s">
        <v>286</v>
      </c>
    </row>
    <row r="200" spans="1:1">
      <c r="A200" s="41" t="s">
        <v>280</v>
      </c>
    </row>
    <row r="202" spans="1:1" ht="18">
      <c r="A202" s="23" t="s">
        <v>348</v>
      </c>
    </row>
    <row r="203" spans="1:1" ht="15">
      <c r="A203" s="62" t="s">
        <v>349</v>
      </c>
    </row>
    <row r="204" spans="1:1">
      <c r="A204" s="41" t="e" cm="1" vm="1">
        <f t="array" ref="A204">_xlfn._xlws.SORT(_xlfn.UNIQUE(_xlfn._xlws.FILTER(Nutrients_from_future_land_use!$A$5:$A$21,Nutrients_from_future_land_use!$A$5:$A$21&lt;&gt;"")))</f>
        <v>#VALUE!</v>
      </c>
    </row>
  </sheetData>
  <sheetProtection algorithmName="SHA-512" hashValue="iSlnvu9EZeuyqfCarfX2jIzAToOhOTaW0tRz/kRxYPpHUjvGvd8Su4+GKL+394q7qzaxJxKE1rquME28AFX57g==" saltValue="ecDoAuwWjqdeYjNx+QdfrA==" spinCount="100000" sheet="1" objects="1" scenarios="1"/>
  <phoneticPr fontId="9" type="noConversion"/>
  <dataValidations count="1">
    <dataValidation allowBlank="1" showInputMessage="1" showErrorMessage="1" prompt="This value is dependent on the rainfall volume." sqref="G116:H118 H112" xr:uid="{531D2639-E1CD-4714-9D53-CBF5CF1C1961}"/>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1084BA893BFA0746879A3D9878F52A4C" ma:contentTypeVersion="15" ma:contentTypeDescription="Create a new document." ma:contentTypeScope="" ma:versionID="9d5aac7d4c263efcb02f64726a175397">
  <xsd:schema xmlns:xsd="http://www.w3.org/2001/XMLSchema" xmlns:xs="http://www.w3.org/2001/XMLSchema" xmlns:p="http://schemas.microsoft.com/office/2006/metadata/properties" xmlns:ns2="662745e8-e224-48e8-a2e3-254862b8c2f5" xmlns:ns3="eadf615d-60bf-4100-8f9d-b3b6b1afcaac" xmlns:ns4="1b0cf190-34a4-46df-8e99-7b7b75534f8a" targetNamespace="http://schemas.microsoft.com/office/2006/metadata/properties" ma:root="true" ma:fieldsID="e13de7b255ec8016b2d8e9e105a2f3ee" ns2:_="" ns3:_="" ns4:_="">
    <xsd:import namespace="662745e8-e224-48e8-a2e3-254862b8c2f5"/>
    <xsd:import namespace="eadf615d-60bf-4100-8f9d-b3b6b1afcaac"/>
    <xsd:import namespace="1b0cf190-34a4-46df-8e99-7b7b75534f8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4:SharedWithUsers" minOccurs="0"/>
                <xsd:element ref="ns4: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db2e875-4c0e-4f0a-ad47-7f03d630799f}" ma:internalName="TaxCatchAll" ma:showField="CatchAllData"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db2e875-4c0e-4f0a-ad47-7f03d630799f}" ma:internalName="TaxCatchAllLabel" ma:readOnly="true" ma:showField="CatchAllDataLabel"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9;#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Strategic Solutions" ma:internalName="Team">
      <xsd:simpleType>
        <xsd:restriction base="dms:Text"/>
      </xsd:simpleType>
    </xsd:element>
    <xsd:element name="Topic" ma:index="20" nillable="true" ma:displayName="Topic" ma:default="SST File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8;#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3;#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df615d-60bf-4100-8f9d-b3b6b1afcaac"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0cf190-34a4-46df-8e99-7b7b75534f8a"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9</Value>
      <Value>15</Value>
      <Value>3</Value>
      <Value>2</Value>
      <Value>1</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4.xml><?xml version="1.0" encoding="utf-8"?>
<?mso-contentType ?>
<SharedContentType xmlns="Microsoft.SharePoint.Taxonomy.ContentTypeSync" SourceId="d1117845-93f6-4da3-abaa-fcb4fa669c78" ContentTypeId="0x010100A5BF1C78D9F64B679A5EBDE1C6598EBC01" PreviousValue="false" LastSyncTimeStamp="2022-12-23T12:39:58.22Z"/>
</file>

<file path=customXml/item5.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Props1.xml><?xml version="1.0" encoding="utf-8"?>
<ds:datastoreItem xmlns:ds="http://schemas.openxmlformats.org/officeDocument/2006/customXml" ds:itemID="{A3AE2B08-77DF-4F76-BBE8-6EE2740E9C7A}"/>
</file>

<file path=customXml/itemProps2.xml><?xml version="1.0" encoding="utf-8"?>
<ds:datastoreItem xmlns:ds="http://schemas.openxmlformats.org/officeDocument/2006/customXml" ds:itemID="{64C1BBF9-9B3E-4827-BF16-821C5036B885}"/>
</file>

<file path=customXml/itemProps3.xml><?xml version="1.0" encoding="utf-8"?>
<ds:datastoreItem xmlns:ds="http://schemas.openxmlformats.org/officeDocument/2006/customXml" ds:itemID="{4E6A12FC-BB1B-4E54-B358-BBABDD5105C6}"/>
</file>

<file path=customXml/itemProps4.xml><?xml version="1.0" encoding="utf-8"?>
<ds:datastoreItem xmlns:ds="http://schemas.openxmlformats.org/officeDocument/2006/customXml" ds:itemID="{648429CF-527E-4F93-BEF4-56116C4A99D2}"/>
</file>

<file path=customXml/itemProps5.xml><?xml version="1.0" encoding="utf-8"?>
<ds:datastoreItem xmlns:ds="http://schemas.openxmlformats.org/officeDocument/2006/customXml" ds:itemID="{A6870AF0-BC99-4EE0-9479-825860D2F99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Sealy, Declan</dc:creator>
  <cp:keywords/>
  <dc:description/>
  <cp:lastModifiedBy>Thompson, Simon</cp:lastModifiedBy>
  <cp:revision/>
  <dcterms:created xsi:type="dcterms:W3CDTF">2021-10-14T13:24:34Z</dcterms:created>
  <dcterms:modified xsi:type="dcterms:W3CDTF">2024-01-25T19:31:10Z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0x010100A5BF1C78D9F64B679A5EBDE1C6598EBC01001084BA893BFA0746879A3D9878F52A4C</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ies>
</file>